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vknezevic\Desktop\Priprema Ivana\UGOVORI\2025\SERVIS, POPRAVAK I REZERVNI DIJELOVI SPECIJALNIH VOZILA I STROJEVA ZA PRANJE I ČIŠĆENJE JAVNIH PROMETNIH POVRŠINA MARKI TENAX, BUCHER, RAVO I LADOG\"/>
    </mc:Choice>
  </mc:AlternateContent>
  <xr:revisionPtr revIDLastSave="0" documentId="13_ncr:1_{5CCD6FF3-3DF5-44AB-8ED9-62A68A3915C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-" sheetId="1" r:id="rId1"/>
    <sheet name="List1" sheetId="2" r:id="rId2"/>
  </sheets>
  <definedNames>
    <definedName name="_xlnm._FilterDatabase" localSheetId="1" hidden="1">List1!$A$1:$B$3628</definedName>
    <definedName name="_xlnm.Print_Titles" localSheetId="0">'-'!$1:$1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54" i="1" l="1"/>
  <c r="C3629" i="1" l="1"/>
  <c r="C3628" i="1"/>
  <c r="C3627" i="1"/>
  <c r="C3626" i="1"/>
  <c r="C3625" i="1"/>
  <c r="C3624" i="1"/>
  <c r="C3623" i="1"/>
  <c r="C3622" i="1"/>
  <c r="C3621" i="1"/>
  <c r="C3620" i="1"/>
  <c r="C3619" i="1"/>
  <c r="C3618" i="1"/>
  <c r="C3617" i="1"/>
  <c r="C3616" i="1"/>
  <c r="C3615" i="1"/>
  <c r="C3614" i="1"/>
  <c r="C3613" i="1"/>
  <c r="C3612" i="1"/>
  <c r="C3611" i="1"/>
  <c r="C3610" i="1"/>
  <c r="C3609" i="1"/>
  <c r="C3608" i="1"/>
  <c r="C3607" i="1"/>
  <c r="C3606" i="1"/>
  <c r="C3605" i="1"/>
  <c r="C3604" i="1"/>
  <c r="C3603" i="1"/>
  <c r="C3602" i="1"/>
  <c r="C3601" i="1"/>
  <c r="C3600" i="1"/>
  <c r="C3599" i="1"/>
  <c r="C3598" i="1"/>
  <c r="C3597" i="1"/>
  <c r="C3596" i="1"/>
  <c r="C3595" i="1"/>
  <c r="C3594" i="1"/>
  <c r="C3593" i="1"/>
  <c r="C3592" i="1"/>
  <c r="C3591" i="1"/>
  <c r="C3590" i="1"/>
  <c r="C3589" i="1"/>
  <c r="C3588" i="1"/>
  <c r="C3587" i="1"/>
  <c r="C3586" i="1"/>
  <c r="C3585" i="1"/>
  <c r="C3584" i="1"/>
  <c r="C3583" i="1"/>
  <c r="C3582" i="1"/>
  <c r="C3581" i="1"/>
  <c r="C3580" i="1"/>
  <c r="C3579" i="1"/>
  <c r="C3578" i="1"/>
  <c r="C3577" i="1"/>
  <c r="C3576" i="1"/>
  <c r="C3575" i="1"/>
  <c r="C3574" i="1"/>
  <c r="C3573" i="1"/>
  <c r="C3572" i="1"/>
  <c r="C3571" i="1"/>
  <c r="C3570" i="1"/>
  <c r="C3569" i="1"/>
  <c r="C3568" i="1"/>
  <c r="C3567" i="1"/>
  <c r="C3566" i="1"/>
  <c r="C3565" i="1"/>
  <c r="C3564" i="1"/>
  <c r="C3563" i="1"/>
  <c r="C3562" i="1"/>
  <c r="C3561" i="1"/>
  <c r="C3560" i="1"/>
  <c r="C3559" i="1"/>
  <c r="C3558" i="1"/>
  <c r="C3557" i="1"/>
  <c r="C3556" i="1"/>
  <c r="C3555" i="1"/>
  <c r="C3554" i="1"/>
  <c r="C3553" i="1"/>
  <c r="C3552" i="1"/>
  <c r="C3551" i="1"/>
  <c r="C3550" i="1"/>
  <c r="C3549" i="1"/>
  <c r="C3548" i="1"/>
  <c r="C3547" i="1"/>
  <c r="C3546" i="1"/>
  <c r="C3545" i="1"/>
  <c r="C3544" i="1"/>
  <c r="C3543" i="1"/>
  <c r="C3542" i="1"/>
  <c r="C3541" i="1"/>
  <c r="C3540" i="1"/>
  <c r="C3539" i="1"/>
  <c r="C3538" i="1"/>
  <c r="C3537" i="1"/>
  <c r="C3536" i="1"/>
  <c r="C3535" i="1"/>
  <c r="C3534" i="1"/>
  <c r="C3533" i="1"/>
  <c r="C3532" i="1"/>
  <c r="C3531" i="1"/>
  <c r="C3530" i="1"/>
  <c r="C3529" i="1"/>
  <c r="C3528" i="1"/>
  <c r="C3527" i="1"/>
  <c r="C3526" i="1"/>
  <c r="C3525" i="1"/>
  <c r="C3524" i="1"/>
  <c r="C3523" i="1"/>
  <c r="C3522" i="1"/>
  <c r="C3521" i="1"/>
  <c r="C3520" i="1"/>
  <c r="C3519" i="1"/>
  <c r="C3518" i="1"/>
  <c r="C3517" i="1"/>
  <c r="C3516" i="1"/>
  <c r="C3515" i="1"/>
  <c r="C3514" i="1"/>
  <c r="C3513" i="1"/>
  <c r="C3512" i="1"/>
  <c r="C3511" i="1"/>
  <c r="C3510" i="1"/>
  <c r="C3509" i="1"/>
  <c r="C3508" i="1"/>
  <c r="C3507" i="1"/>
  <c r="C3506" i="1"/>
  <c r="C3505" i="1"/>
  <c r="C3504" i="1"/>
  <c r="C3503" i="1"/>
  <c r="C3502" i="1"/>
  <c r="C3501" i="1"/>
  <c r="C3500" i="1"/>
  <c r="C3499" i="1"/>
  <c r="C3498" i="1"/>
  <c r="C3497" i="1"/>
  <c r="C3496" i="1"/>
  <c r="C3495" i="1"/>
  <c r="C3494" i="1"/>
  <c r="C3493" i="1"/>
  <c r="C3492" i="1"/>
  <c r="C3491" i="1"/>
  <c r="C3490" i="1"/>
  <c r="C3489" i="1"/>
  <c r="C3488" i="1"/>
  <c r="C3487" i="1"/>
  <c r="C3486" i="1"/>
  <c r="C3485" i="1"/>
  <c r="C3484" i="1"/>
  <c r="C3483" i="1"/>
  <c r="C3482" i="1"/>
  <c r="C3481" i="1"/>
  <c r="C3480" i="1"/>
  <c r="C3479" i="1"/>
  <c r="C3478" i="1"/>
  <c r="C3477" i="1"/>
  <c r="C3476" i="1"/>
  <c r="C3475" i="1"/>
  <c r="C3474" i="1"/>
  <c r="C3473" i="1"/>
  <c r="C3472" i="1"/>
  <c r="C3471" i="1"/>
  <c r="C3470" i="1"/>
  <c r="C3469" i="1"/>
  <c r="C3468" i="1"/>
  <c r="C3467" i="1"/>
  <c r="C3466" i="1"/>
  <c r="C3465" i="1"/>
  <c r="C3464" i="1"/>
  <c r="C3463" i="1"/>
  <c r="C3462" i="1"/>
  <c r="C3461" i="1"/>
  <c r="C3460" i="1"/>
  <c r="C3459" i="1"/>
  <c r="C3458" i="1"/>
  <c r="C3457" i="1"/>
  <c r="C3456" i="1"/>
  <c r="C3455" i="1"/>
  <c r="C3454" i="1"/>
  <c r="C3453" i="1"/>
  <c r="C3452" i="1"/>
  <c r="C3451" i="1"/>
  <c r="C3450" i="1"/>
  <c r="C3449" i="1"/>
  <c r="C3448" i="1"/>
  <c r="C3447" i="1"/>
  <c r="C3446" i="1"/>
  <c r="C3445" i="1"/>
  <c r="C3444" i="1"/>
  <c r="C3443" i="1"/>
  <c r="C3442" i="1"/>
  <c r="C3441" i="1"/>
  <c r="C3440" i="1"/>
  <c r="C3439" i="1"/>
  <c r="C3438" i="1"/>
  <c r="C3437" i="1"/>
  <c r="C3436" i="1"/>
  <c r="C3435" i="1"/>
  <c r="C3434" i="1"/>
  <c r="C3433" i="1"/>
  <c r="C3432" i="1"/>
  <c r="C3431" i="1"/>
  <c r="C3430" i="1"/>
  <c r="C3429" i="1"/>
  <c r="C3428" i="1"/>
  <c r="C3427" i="1"/>
  <c r="C3426" i="1"/>
  <c r="C3425" i="1"/>
  <c r="C3424" i="1"/>
  <c r="C3423" i="1"/>
  <c r="C3422" i="1"/>
  <c r="C3421" i="1"/>
  <c r="C3420" i="1"/>
  <c r="C3419" i="1"/>
  <c r="C3418" i="1"/>
  <c r="C3417" i="1"/>
  <c r="C3416" i="1"/>
  <c r="C3415" i="1"/>
  <c r="C3414" i="1"/>
  <c r="C3413" i="1"/>
  <c r="C3412" i="1"/>
  <c r="C3411" i="1"/>
  <c r="C3410" i="1"/>
  <c r="C3409" i="1"/>
  <c r="C3408" i="1"/>
  <c r="C3407" i="1"/>
  <c r="C3406" i="1"/>
  <c r="C3405" i="1"/>
  <c r="C3404" i="1"/>
  <c r="C3403" i="1"/>
  <c r="C3402" i="1"/>
  <c r="C3401" i="1"/>
  <c r="C3400" i="1"/>
  <c r="C3399" i="1"/>
  <c r="C3398" i="1"/>
  <c r="C3397" i="1"/>
  <c r="C3396" i="1"/>
  <c r="C3395" i="1"/>
  <c r="C3394" i="1"/>
  <c r="C3393" i="1"/>
  <c r="C3392" i="1"/>
  <c r="C3391" i="1"/>
  <c r="C3390" i="1"/>
  <c r="C3389" i="1"/>
  <c r="C3388" i="1"/>
  <c r="C3387" i="1"/>
  <c r="C3386" i="1"/>
  <c r="C3385" i="1"/>
  <c r="C3384" i="1"/>
  <c r="C3383" i="1"/>
  <c r="C3382" i="1"/>
  <c r="C3381" i="1"/>
  <c r="C3380" i="1"/>
  <c r="C3379" i="1"/>
  <c r="C3378" i="1"/>
  <c r="C3377" i="1"/>
  <c r="C3376" i="1"/>
  <c r="C3375" i="1"/>
  <c r="C3374" i="1"/>
  <c r="C3373" i="1"/>
  <c r="C3372" i="1"/>
  <c r="C3371" i="1"/>
  <c r="C3370" i="1"/>
  <c r="C3369" i="1"/>
  <c r="C3368" i="1"/>
  <c r="C3367" i="1"/>
  <c r="C3366" i="1"/>
  <c r="C3365" i="1"/>
  <c r="C3364" i="1"/>
  <c r="C3363" i="1"/>
  <c r="C3362" i="1"/>
  <c r="C3361" i="1"/>
  <c r="C3360" i="1"/>
  <c r="C3359" i="1"/>
  <c r="C3358" i="1"/>
  <c r="C3357" i="1"/>
  <c r="C3356" i="1"/>
  <c r="C3355" i="1"/>
  <c r="C3354" i="1"/>
  <c r="C3353" i="1"/>
  <c r="C3352" i="1"/>
  <c r="C3351" i="1"/>
  <c r="C3350" i="1"/>
  <c r="C3349" i="1"/>
  <c r="C3348" i="1"/>
  <c r="C3347" i="1"/>
  <c r="C3346" i="1"/>
  <c r="C3345" i="1"/>
  <c r="C3344" i="1"/>
  <c r="C3343" i="1"/>
  <c r="C3342" i="1"/>
  <c r="C3341" i="1"/>
  <c r="C3340" i="1"/>
  <c r="C3339" i="1"/>
  <c r="C3338" i="1"/>
  <c r="C3337" i="1"/>
  <c r="C3336" i="1"/>
  <c r="C3335" i="1"/>
  <c r="C3334" i="1"/>
  <c r="C3333" i="1"/>
  <c r="C3332" i="1"/>
  <c r="C3331" i="1"/>
  <c r="C3330" i="1"/>
  <c r="C3329" i="1"/>
  <c r="C3328" i="1"/>
  <c r="C3327" i="1"/>
  <c r="C3326" i="1"/>
  <c r="C3325" i="1"/>
  <c r="C3324" i="1"/>
  <c r="C3323" i="1"/>
  <c r="C3322" i="1"/>
  <c r="C3321" i="1"/>
  <c r="C3320" i="1"/>
  <c r="C3319" i="1"/>
  <c r="C3318" i="1"/>
  <c r="C3317" i="1"/>
  <c r="C3316" i="1"/>
  <c r="C3315" i="1"/>
  <c r="C3314" i="1"/>
  <c r="C3313" i="1"/>
  <c r="C3312" i="1"/>
  <c r="C3311" i="1"/>
  <c r="C3310" i="1"/>
  <c r="C3309" i="1"/>
  <c r="C3308" i="1"/>
  <c r="C3307" i="1"/>
  <c r="C3306" i="1"/>
  <c r="C3305" i="1"/>
  <c r="C3304" i="1"/>
  <c r="C3303" i="1"/>
  <c r="C3302" i="1"/>
  <c r="C3301" i="1"/>
  <c r="C3300" i="1"/>
  <c r="C3299" i="1"/>
  <c r="C3298" i="1"/>
  <c r="C3297" i="1"/>
  <c r="C3296" i="1"/>
  <c r="C3295" i="1"/>
  <c r="C3294" i="1"/>
  <c r="C3293" i="1"/>
  <c r="C3292" i="1"/>
  <c r="C3291" i="1"/>
  <c r="C3290" i="1"/>
  <c r="C3289" i="1"/>
  <c r="C3288" i="1"/>
  <c r="C3287" i="1"/>
  <c r="C3286" i="1"/>
  <c r="C3285" i="1"/>
  <c r="C3284" i="1"/>
  <c r="C3283" i="1"/>
  <c r="C3282" i="1"/>
  <c r="C3281" i="1"/>
  <c r="C3280" i="1"/>
  <c r="C3279" i="1"/>
  <c r="C3278" i="1"/>
  <c r="C3277" i="1"/>
  <c r="C3276" i="1"/>
  <c r="C3275" i="1"/>
  <c r="C3274" i="1"/>
  <c r="C3273" i="1"/>
  <c r="C3272" i="1"/>
  <c r="C3271" i="1"/>
  <c r="C3270" i="1"/>
  <c r="C3269" i="1"/>
  <c r="C3268" i="1"/>
  <c r="C3267" i="1"/>
  <c r="C3266" i="1"/>
  <c r="C3265" i="1"/>
  <c r="C3264" i="1"/>
  <c r="C3263" i="1"/>
  <c r="C3262" i="1"/>
  <c r="C3261" i="1"/>
  <c r="C3260" i="1"/>
  <c r="C3259" i="1"/>
  <c r="C3258" i="1"/>
  <c r="C3257" i="1"/>
  <c r="C3256" i="1"/>
  <c r="C3255" i="1"/>
  <c r="C3254" i="1"/>
  <c r="C3253" i="1"/>
  <c r="C3252" i="1"/>
  <c r="C3251" i="1"/>
  <c r="C3250" i="1"/>
  <c r="C3249" i="1"/>
  <c r="C3248" i="1"/>
  <c r="C3247" i="1"/>
  <c r="C3246" i="1"/>
  <c r="C3245" i="1"/>
  <c r="C3244" i="1"/>
  <c r="C3243" i="1"/>
  <c r="C3242" i="1"/>
  <c r="C3241" i="1"/>
  <c r="C3240" i="1"/>
  <c r="C3239" i="1"/>
  <c r="C3238" i="1"/>
  <c r="C3237" i="1"/>
  <c r="C3236" i="1"/>
  <c r="C3235" i="1"/>
  <c r="C3234" i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3433" i="2" l="1"/>
  <c r="B2985" i="2"/>
  <c r="B2984" i="2"/>
  <c r="B1041" i="2"/>
  <c r="B2405" i="2"/>
  <c r="B1419" i="2"/>
  <c r="B2127" i="2"/>
  <c r="B3347" i="2"/>
  <c r="B1410" i="2"/>
  <c r="B1396" i="2"/>
  <c r="B1394" i="2"/>
  <c r="B1404" i="2"/>
  <c r="B1393" i="2"/>
  <c r="B1402" i="2"/>
  <c r="B1406" i="2"/>
  <c r="B1395" i="2"/>
  <c r="B1407" i="2"/>
  <c r="B1408" i="2"/>
  <c r="B1403" i="2"/>
  <c r="B1405" i="2"/>
  <c r="B3388" i="2"/>
  <c r="B3188" i="2"/>
  <c r="B1090" i="2"/>
  <c r="B2968" i="2"/>
  <c r="B2946" i="2"/>
  <c r="B1181" i="2"/>
  <c r="B2085" i="2"/>
  <c r="B1199" i="2"/>
  <c r="B2555" i="2"/>
  <c r="B2021" i="2"/>
  <c r="B1200" i="2"/>
  <c r="B995" i="2"/>
  <c r="B996" i="2"/>
  <c r="B997" i="2"/>
  <c r="B1632" i="2"/>
  <c r="B1628" i="2"/>
  <c r="B1631" i="2"/>
  <c r="B1629" i="2"/>
  <c r="B1630" i="2"/>
  <c r="B1627" i="2"/>
  <c r="B1633" i="2"/>
  <c r="B1626" i="2"/>
  <c r="B1636" i="2"/>
  <c r="B1637" i="2"/>
  <c r="B2716" i="2"/>
  <c r="B1634" i="2"/>
  <c r="B1635" i="2"/>
  <c r="B23" i="2"/>
  <c r="B794" i="2"/>
  <c r="B795" i="2"/>
  <c r="B22" i="2"/>
  <c r="B21" i="2"/>
  <c r="B793" i="2"/>
  <c r="B792" i="2"/>
  <c r="B938" i="2"/>
  <c r="B7" i="2"/>
  <c r="B994" i="2"/>
  <c r="B35" i="2"/>
  <c r="B941" i="2"/>
  <c r="B828" i="2"/>
  <c r="B9" i="2"/>
  <c r="B1753" i="2"/>
  <c r="B907" i="2"/>
  <c r="B908" i="2"/>
  <c r="B935" i="2"/>
  <c r="B2705" i="2"/>
  <c r="B936" i="2"/>
  <c r="B312" i="2"/>
  <c r="B939" i="2"/>
  <c r="B6" i="2"/>
  <c r="B942" i="2"/>
  <c r="B4" i="2"/>
  <c r="B937" i="2"/>
  <c r="B5" i="2"/>
  <c r="B909" i="2"/>
  <c r="B454" i="2"/>
  <c r="B1237" i="2"/>
  <c r="B34" i="2"/>
  <c r="B2703" i="2"/>
  <c r="B453" i="2"/>
  <c r="B452" i="2"/>
  <c r="B940" i="2"/>
  <c r="B3478" i="2"/>
  <c r="B3475" i="2"/>
  <c r="B3477" i="2"/>
  <c r="B3476" i="2"/>
  <c r="B3481" i="2"/>
  <c r="B3483" i="2"/>
  <c r="B3482" i="2"/>
  <c r="B3480" i="2"/>
  <c r="B3479" i="2"/>
  <c r="B3506" i="2"/>
  <c r="B3508" i="2"/>
  <c r="B3495" i="2"/>
  <c r="B3507" i="2"/>
  <c r="B3494" i="2"/>
  <c r="B3503" i="2"/>
  <c r="B3491" i="2"/>
  <c r="B3505" i="2"/>
  <c r="B3493" i="2"/>
  <c r="B3504" i="2"/>
  <c r="B3492" i="2"/>
  <c r="B3500" i="2"/>
  <c r="B3488" i="2"/>
  <c r="B3496" i="2"/>
  <c r="B3484" i="2"/>
  <c r="B3499" i="2"/>
  <c r="B3487" i="2"/>
  <c r="B3502" i="2"/>
  <c r="B3490" i="2"/>
  <c r="B3501" i="2"/>
  <c r="B3489" i="2"/>
  <c r="B3498" i="2"/>
  <c r="B3486" i="2"/>
  <c r="B3497" i="2"/>
  <c r="B3485" i="2"/>
  <c r="B3454" i="2"/>
  <c r="B3472" i="2"/>
  <c r="B3453" i="2"/>
  <c r="B3445" i="2"/>
  <c r="B3466" i="2"/>
  <c r="B3451" i="2"/>
  <c r="B3449" i="2"/>
  <c r="B3438" i="2"/>
  <c r="B3434" i="2"/>
  <c r="B3443" i="2"/>
  <c r="B3464" i="2"/>
  <c r="B3435" i="2"/>
  <c r="B3457" i="2"/>
  <c r="B3452" i="2"/>
  <c r="B3471" i="2"/>
  <c r="B3448" i="2"/>
  <c r="B3469" i="2"/>
  <c r="B3450" i="2"/>
  <c r="B3470" i="2"/>
  <c r="B3447" i="2"/>
  <c r="B3468" i="2"/>
  <c r="B3446" i="2"/>
  <c r="B3467" i="2"/>
  <c r="B3441" i="2"/>
  <c r="B3462" i="2"/>
  <c r="B3436" i="2"/>
  <c r="B3458" i="2"/>
  <c r="B3456" i="2"/>
  <c r="B3474" i="2"/>
  <c r="B3440" i="2"/>
  <c r="B3461" i="2"/>
  <c r="B3444" i="2"/>
  <c r="B3465" i="2"/>
  <c r="B3442" i="2"/>
  <c r="B3463" i="2"/>
  <c r="B3455" i="2"/>
  <c r="B3473" i="2"/>
  <c r="B3439" i="2"/>
  <c r="B3460" i="2"/>
  <c r="B3437" i="2"/>
  <c r="B3459" i="2"/>
  <c r="B1748" i="2"/>
  <c r="B1747" i="2"/>
  <c r="B1746" i="2"/>
  <c r="B1745" i="2"/>
  <c r="B1744" i="2"/>
  <c r="B1743" i="2"/>
  <c r="B1654" i="2"/>
  <c r="B79" i="2"/>
  <c r="B78" i="2"/>
  <c r="B3306" i="2"/>
  <c r="B2957" i="2"/>
  <c r="B3111" i="2"/>
  <c r="B2148" i="2"/>
  <c r="B3089" i="2"/>
  <c r="B1166" i="2"/>
  <c r="B1732" i="2"/>
  <c r="B1731" i="2"/>
  <c r="B964" i="2"/>
  <c r="B703" i="2"/>
  <c r="B1733" i="2"/>
  <c r="B2977" i="2"/>
  <c r="B300" i="2"/>
  <c r="B2803" i="2"/>
  <c r="B301" i="2"/>
  <c r="B1487" i="2"/>
  <c r="B1470" i="2"/>
  <c r="B2840" i="2"/>
  <c r="B930" i="2"/>
  <c r="B931" i="2"/>
  <c r="B2809" i="2"/>
  <c r="B3127" i="2"/>
  <c r="B2821" i="2"/>
  <c r="B1647" i="2"/>
  <c r="B1216" i="2"/>
  <c r="B1179" i="2"/>
  <c r="B1024" i="2"/>
  <c r="B1625" i="2"/>
  <c r="B3627" i="2"/>
  <c r="B2610" i="2"/>
  <c r="B1054" i="2"/>
  <c r="B700" i="2"/>
  <c r="B783" i="2"/>
  <c r="B2715" i="2"/>
  <c r="B2003" i="2"/>
  <c r="B2802" i="2"/>
  <c r="B3626" i="2"/>
  <c r="B3" i="2"/>
  <c r="B2034" i="2"/>
  <c r="B2081" i="2"/>
  <c r="B738" i="2"/>
  <c r="B1971" i="2"/>
  <c r="B3404" i="2"/>
  <c r="B3403" i="2"/>
  <c r="B3402" i="2"/>
  <c r="B3401" i="2"/>
  <c r="B3400" i="2"/>
  <c r="B3399" i="2"/>
  <c r="B3398" i="2"/>
  <c r="B3530" i="2"/>
  <c r="B3416" i="2"/>
  <c r="B3415" i="2"/>
  <c r="B3414" i="2"/>
  <c r="B3413" i="2"/>
  <c r="B3412" i="2"/>
  <c r="B3411" i="2"/>
  <c r="B3410" i="2"/>
  <c r="B3409" i="2"/>
  <c r="B3408" i="2"/>
  <c r="B3407" i="2"/>
  <c r="B3406" i="2"/>
  <c r="B3405" i="2"/>
  <c r="B3419" i="2"/>
  <c r="B1754" i="2"/>
  <c r="B3418" i="2"/>
  <c r="B3417" i="2"/>
  <c r="B3395" i="2"/>
  <c r="B3397" i="2"/>
  <c r="B1045" i="2"/>
  <c r="B3396" i="2"/>
  <c r="B2973" i="2"/>
  <c r="B2972" i="2"/>
  <c r="B2971" i="2"/>
  <c r="B2873" i="2"/>
  <c r="B609" i="2"/>
  <c r="B545" i="2"/>
  <c r="B1993" i="2"/>
  <c r="B1740" i="2"/>
  <c r="B1691" i="2"/>
  <c r="B1692" i="2"/>
  <c r="B1670" i="2"/>
  <c r="B1695" i="2"/>
  <c r="B1693" i="2"/>
  <c r="B1694" i="2"/>
  <c r="B904" i="2"/>
  <c r="B825" i="2"/>
  <c r="B2244" i="2"/>
  <c r="B3100" i="2"/>
  <c r="B577" i="2"/>
  <c r="B578" i="2"/>
  <c r="B2087" i="2"/>
  <c r="B262" i="2"/>
  <c r="B507" i="2"/>
  <c r="B508" i="2"/>
  <c r="B506" i="2"/>
  <c r="B505" i="2"/>
  <c r="B1324" i="2"/>
  <c r="B1685" i="2"/>
  <c r="B1232" i="2"/>
  <c r="B1318" i="2"/>
  <c r="B1752" i="2"/>
  <c r="B2845" i="2"/>
  <c r="B1751" i="2"/>
  <c r="B1750" i="2"/>
  <c r="B1668" i="2"/>
  <c r="B1669" i="2"/>
  <c r="B1699" i="2"/>
  <c r="B1697" i="2"/>
  <c r="B1788" i="2"/>
  <c r="B2807" i="2"/>
  <c r="B3038" i="2"/>
  <c r="B2806" i="2"/>
  <c r="B2805" i="2"/>
  <c r="B3368" i="2"/>
  <c r="B1734" i="2"/>
  <c r="B437" i="2"/>
  <c r="B436" i="2"/>
  <c r="B435" i="2"/>
  <c r="B2844" i="2"/>
  <c r="B958" i="2"/>
  <c r="B1658" i="2"/>
  <c r="B1739" i="2"/>
  <c r="B1690" i="2"/>
  <c r="B1715" i="2"/>
  <c r="B2602" i="2"/>
  <c r="B3164" i="2"/>
  <c r="B3163" i="2"/>
  <c r="B456" i="2"/>
  <c r="B3166" i="2"/>
  <c r="B190" i="2"/>
  <c r="B2270" i="2"/>
  <c r="B3165" i="2"/>
  <c r="B458" i="2"/>
  <c r="B108" i="2"/>
  <c r="B110" i="2"/>
  <c r="B290" i="2"/>
  <c r="B2066" i="2"/>
  <c r="B457" i="2"/>
  <c r="B1700" i="2"/>
  <c r="B1698" i="2"/>
  <c r="B1649" i="2"/>
  <c r="B1644" i="2"/>
  <c r="B1643" i="2"/>
  <c r="B1642" i="2"/>
  <c r="B1641" i="2"/>
  <c r="B1640" i="2"/>
  <c r="B1639" i="2"/>
  <c r="B1660" i="2"/>
  <c r="B1665" i="2"/>
  <c r="B1659" i="2"/>
  <c r="B1713" i="2"/>
  <c r="B1716" i="2"/>
  <c r="B1741" i="2"/>
  <c r="B1717" i="2"/>
  <c r="B1653" i="2"/>
  <c r="B588" i="2"/>
  <c r="B3131" i="2"/>
  <c r="B587" i="2"/>
  <c r="B1650" i="2"/>
  <c r="B1651" i="2"/>
  <c r="B1463" i="2"/>
  <c r="B1461" i="2"/>
  <c r="B1462" i="2"/>
  <c r="B768" i="2"/>
  <c r="B770" i="2"/>
  <c r="B2607" i="2"/>
  <c r="B2606" i="2"/>
  <c r="B674" i="2"/>
  <c r="B769" i="2"/>
  <c r="B1152" i="2"/>
  <c r="B1151" i="2"/>
  <c r="B1150" i="2"/>
  <c r="B553" i="2"/>
  <c r="B1154" i="2"/>
  <c r="B966" i="2"/>
  <c r="B1491" i="2"/>
  <c r="B1311" i="2"/>
  <c r="B925" i="2"/>
  <c r="B962" i="2"/>
  <c r="B744" i="2"/>
  <c r="B464" i="2"/>
  <c r="B1362" i="2"/>
  <c r="B1310" i="2"/>
  <c r="B923" i="2"/>
  <c r="B1323" i="2"/>
  <c r="B1005" i="2"/>
  <c r="B1322" i="2"/>
  <c r="B1006" i="2"/>
  <c r="B843" i="2"/>
  <c r="B844" i="2"/>
  <c r="B767" i="2"/>
  <c r="B926" i="2"/>
  <c r="B531" i="2"/>
  <c r="B465" i="2"/>
  <c r="B1558" i="2"/>
  <c r="B965" i="2"/>
  <c r="B814" i="2"/>
  <c r="B1572" i="2"/>
  <c r="B761" i="2"/>
  <c r="B924" i="2"/>
  <c r="B803" i="2"/>
  <c r="B1257" i="2"/>
  <c r="B469" i="2"/>
  <c r="B468" i="2"/>
  <c r="B470" i="2"/>
  <c r="B467" i="2"/>
  <c r="B820" i="2"/>
  <c r="B2444" i="2"/>
  <c r="B2436" i="2"/>
  <c r="B2439" i="2"/>
  <c r="B2435" i="2"/>
  <c r="B2440" i="2"/>
  <c r="B2441" i="2"/>
  <c r="B1246" i="2"/>
  <c r="B2214" i="2"/>
  <c r="B1297" i="2"/>
  <c r="B672" i="2"/>
  <c r="B1296" i="2"/>
  <c r="B694" i="2"/>
  <c r="B2390" i="2"/>
  <c r="B2185" i="2"/>
  <c r="B2220" i="2"/>
  <c r="B375" i="2"/>
  <c r="B1295" i="2"/>
  <c r="B750" i="2"/>
  <c r="B1294" i="2"/>
  <c r="B749" i="2"/>
  <c r="B1293" i="2"/>
  <c r="B748" i="2"/>
  <c r="B1292" i="2"/>
  <c r="B747" i="2"/>
  <c r="B1291" i="2"/>
  <c r="B746" i="2"/>
  <c r="B2184" i="2"/>
  <c r="B2179" i="2"/>
  <c r="B1289" i="2"/>
  <c r="B701" i="2"/>
  <c r="B1287" i="2"/>
  <c r="B695" i="2"/>
  <c r="B2511" i="2"/>
  <c r="B1721" i="2"/>
  <c r="B2522" i="2"/>
  <c r="B2517" i="2"/>
  <c r="B2499" i="2"/>
  <c r="B291" i="2"/>
  <c r="B2527" i="2"/>
  <c r="B57" i="2"/>
  <c r="B2521" i="2"/>
  <c r="B2518" i="2"/>
  <c r="B2519" i="2"/>
  <c r="B2520" i="2"/>
  <c r="B66" i="2"/>
  <c r="B2526" i="2"/>
  <c r="B2515" i="2"/>
  <c r="B2497" i="2"/>
  <c r="B2516" i="2"/>
  <c r="B479" i="2"/>
  <c r="B224" i="2"/>
  <c r="B2494" i="2"/>
  <c r="B233" i="2"/>
  <c r="B2503" i="2"/>
  <c r="B2502" i="2"/>
  <c r="B2794" i="2"/>
  <c r="B2501" i="2"/>
  <c r="B2765" i="2"/>
  <c r="B2514" i="2"/>
  <c r="B2500" i="2"/>
  <c r="B2495" i="2"/>
  <c r="B2496" i="2"/>
  <c r="B2498" i="2"/>
  <c r="B2493" i="2"/>
  <c r="B2281" i="2"/>
  <c r="B2523" i="2"/>
  <c r="B1839" i="2"/>
  <c r="B1710" i="2"/>
  <c r="B1709" i="2"/>
  <c r="B1708" i="2"/>
  <c r="B55" i="2"/>
  <c r="B56" i="2"/>
  <c r="B2528" i="2"/>
  <c r="B2525" i="2"/>
  <c r="B2509" i="2"/>
  <c r="B53" i="2"/>
  <c r="B2530" i="2"/>
  <c r="B2490" i="2"/>
  <c r="B2506" i="2"/>
  <c r="B2491" i="2"/>
  <c r="B2505" i="2"/>
  <c r="B2492" i="2"/>
  <c r="B54" i="2"/>
  <c r="B2529" i="2"/>
  <c r="B2504" i="2"/>
  <c r="B2510" i="2"/>
  <c r="B2531" i="2"/>
  <c r="B2367" i="2"/>
  <c r="B2426" i="2"/>
  <c r="B903" i="2"/>
  <c r="B644" i="2"/>
  <c r="B642" i="2"/>
  <c r="B2181" i="2"/>
  <c r="B411" i="2"/>
  <c r="B407" i="2"/>
  <c r="B677" i="2"/>
  <c r="B2156" i="2"/>
  <c r="B2161" i="2"/>
  <c r="B408" i="2"/>
  <c r="B394" i="2"/>
  <c r="B399" i="2"/>
  <c r="B397" i="2"/>
  <c r="B398" i="2"/>
  <c r="B395" i="2"/>
  <c r="B400" i="2"/>
  <c r="B401" i="2"/>
  <c r="B402" i="2"/>
  <c r="B1224" i="2"/>
  <c r="B901" i="2"/>
  <c r="B900" i="2"/>
  <c r="B2941" i="2"/>
  <c r="B651" i="2"/>
  <c r="B2423" i="2"/>
  <c r="B629" i="2"/>
  <c r="B650" i="2"/>
  <c r="B787" i="2"/>
  <c r="B2936" i="2"/>
  <c r="B2397" i="2"/>
  <c r="B786" i="2"/>
  <c r="B785" i="2"/>
  <c r="B784" i="2"/>
  <c r="B3025" i="2"/>
  <c r="B2479" i="2"/>
  <c r="B595" i="2"/>
  <c r="B3604" i="2"/>
  <c r="B579" i="2"/>
  <c r="B581" i="2"/>
  <c r="B582" i="2"/>
  <c r="B580" i="2"/>
  <c r="B564" i="2"/>
  <c r="B562" i="2"/>
  <c r="B563" i="2"/>
  <c r="B561" i="2"/>
  <c r="B2238" i="2"/>
  <c r="B2927" i="2"/>
  <c r="B615" i="2"/>
  <c r="B2595" i="2"/>
  <c r="B415" i="2"/>
  <c r="B692" i="2"/>
  <c r="B691" i="2"/>
  <c r="B690" i="2"/>
  <c r="B689" i="2"/>
  <c r="B3535" i="2"/>
  <c r="B3534" i="2"/>
  <c r="B3129" i="2"/>
  <c r="B3254" i="2"/>
  <c r="B3255" i="2"/>
  <c r="B2236" i="2"/>
  <c r="B409" i="2"/>
  <c r="B2896" i="2"/>
  <c r="B2231" i="2"/>
  <c r="B419" i="2"/>
  <c r="B3425" i="2"/>
  <c r="B3087" i="2"/>
  <c r="B410" i="2"/>
  <c r="B412" i="2"/>
  <c r="B151" i="2"/>
  <c r="B404" i="2"/>
  <c r="B3603" i="2"/>
  <c r="B2417" i="2"/>
  <c r="B2154" i="2"/>
  <c r="B1092" i="2"/>
  <c r="B788" i="2"/>
  <c r="B2480" i="2"/>
  <c r="B3122" i="2"/>
  <c r="B405" i="2"/>
  <c r="B596" i="2"/>
  <c r="B502" i="2"/>
  <c r="B443" i="2"/>
  <c r="B3606" i="2"/>
  <c r="B3605" i="2"/>
  <c r="B403" i="2"/>
  <c r="B3607" i="2"/>
  <c r="B500" i="2"/>
  <c r="B152" i="2"/>
  <c r="B499" i="2"/>
  <c r="B150" i="2"/>
  <c r="B501" i="2"/>
  <c r="B445" i="2"/>
  <c r="B503" i="2"/>
  <c r="B444" i="2"/>
  <c r="B504" i="2"/>
  <c r="B446" i="2"/>
  <c r="B3020" i="2"/>
  <c r="B2379" i="2"/>
  <c r="B2375" i="2"/>
  <c r="B2897" i="2"/>
  <c r="B323" i="2"/>
  <c r="B2241" i="2"/>
  <c r="B2410" i="2"/>
  <c r="B733" i="2"/>
  <c r="B319" i="2"/>
  <c r="B509" i="2"/>
  <c r="B510" i="2"/>
  <c r="B2235" i="2"/>
  <c r="B2923" i="2"/>
  <c r="B2420" i="2"/>
  <c r="B688" i="2"/>
  <c r="B687" i="2"/>
  <c r="B686" i="2"/>
  <c r="B685" i="2"/>
  <c r="B2250" i="2"/>
  <c r="B3248" i="2"/>
  <c r="B1089" i="2"/>
  <c r="B1168" i="2"/>
  <c r="B2381" i="2"/>
  <c r="B2191" i="2"/>
  <c r="B1230" i="2"/>
  <c r="B1229" i="2"/>
  <c r="B148" i="2"/>
  <c r="B147" i="2"/>
  <c r="B367" i="2"/>
  <c r="B2942" i="2"/>
  <c r="B208" i="2"/>
  <c r="B2939" i="2"/>
  <c r="B2421" i="2"/>
  <c r="B2370" i="2"/>
  <c r="B2383" i="2"/>
  <c r="B2475" i="2"/>
  <c r="B3160" i="2"/>
  <c r="B155" i="2"/>
  <c r="B2137" i="2"/>
  <c r="B2477" i="2"/>
  <c r="B1241" i="2"/>
  <c r="B1242" i="2"/>
  <c r="B737" i="2"/>
  <c r="B2393" i="2"/>
  <c r="B859" i="2"/>
  <c r="B858" i="2"/>
  <c r="B2422" i="2"/>
  <c r="B2168" i="2"/>
  <c r="B1723" i="2"/>
  <c r="B160" i="2"/>
  <c r="B159" i="2"/>
  <c r="B158" i="2"/>
  <c r="B145" i="2"/>
  <c r="B2901" i="2"/>
  <c r="B142" i="2"/>
  <c r="B347" i="2"/>
  <c r="B2929" i="2"/>
  <c r="B140" i="2"/>
  <c r="B198" i="2"/>
  <c r="B1341" i="2"/>
  <c r="B1309" i="2"/>
  <c r="B128" i="2"/>
  <c r="B2280" i="2"/>
  <c r="B2418" i="2"/>
  <c r="B2931" i="2"/>
  <c r="B1245" i="2"/>
  <c r="B894" i="2"/>
  <c r="B589" i="2"/>
  <c r="B3175" i="2"/>
  <c r="B876" i="2"/>
  <c r="B854" i="2"/>
  <c r="B853" i="2"/>
  <c r="B3139" i="2"/>
  <c r="B812" i="2"/>
  <c r="B1795" i="2"/>
  <c r="B3126" i="2"/>
  <c r="B2476" i="2"/>
  <c r="B2478" i="2"/>
  <c r="B815" i="2"/>
  <c r="B817" i="2"/>
  <c r="B782" i="2"/>
  <c r="B3174" i="2"/>
  <c r="B293" i="2"/>
  <c r="B126" i="2"/>
  <c r="B125" i="2"/>
  <c r="B115" i="2"/>
  <c r="B1225" i="2"/>
  <c r="B837" i="2"/>
  <c r="B893" i="2"/>
  <c r="B3261" i="2"/>
  <c r="B1907" i="2"/>
  <c r="B3608" i="2"/>
  <c r="B197" i="2"/>
  <c r="B3130" i="2"/>
  <c r="B2415" i="2"/>
  <c r="B348" i="2"/>
  <c r="B2930" i="2"/>
  <c r="B139" i="2"/>
  <c r="B1342" i="2"/>
  <c r="B1308" i="2"/>
  <c r="B127" i="2"/>
  <c r="B2434" i="2"/>
  <c r="B1521" i="2"/>
  <c r="B1210" i="2"/>
  <c r="B365" i="2"/>
  <c r="B1209" i="2"/>
  <c r="B1208" i="2"/>
  <c r="B1207" i="2"/>
  <c r="B392" i="2"/>
  <c r="B478" i="2"/>
  <c r="B710" i="2"/>
  <c r="B439" i="2"/>
  <c r="B1363" i="2"/>
  <c r="B2228" i="2"/>
  <c r="B2891" i="2"/>
  <c r="B315" i="2"/>
  <c r="B3094" i="2"/>
  <c r="B263" i="2"/>
  <c r="B2975" i="2"/>
  <c r="B1931" i="2"/>
  <c r="B3196" i="2"/>
  <c r="B791" i="2"/>
  <c r="B2035" i="2"/>
  <c r="B264" i="2"/>
  <c r="B486" i="2"/>
  <c r="B576" i="2"/>
  <c r="B2349" i="2"/>
  <c r="B2348" i="2"/>
  <c r="B2346" i="2"/>
  <c r="B1714" i="2"/>
  <c r="B2584" i="2"/>
  <c r="B2226" i="2"/>
  <c r="B249" i="2"/>
  <c r="B251" i="2"/>
  <c r="B248" i="2"/>
  <c r="B250" i="2"/>
  <c r="B3387" i="2"/>
  <c r="B3074" i="2"/>
  <c r="B1283" i="2"/>
  <c r="B1302" i="2"/>
  <c r="B1989" i="2"/>
  <c r="B254" i="2"/>
  <c r="B255" i="2"/>
  <c r="B253" i="2"/>
  <c r="B252" i="2"/>
  <c r="B1016" i="2"/>
  <c r="B992" i="2"/>
  <c r="B2221" i="2"/>
  <c r="B2219" i="2"/>
  <c r="B2145" i="2"/>
  <c r="B2144" i="2"/>
  <c r="B549" i="2"/>
  <c r="B550" i="2"/>
  <c r="B1490" i="2"/>
  <c r="B246" i="2"/>
  <c r="B1489" i="2"/>
  <c r="B247" i="2"/>
  <c r="B1512" i="2"/>
  <c r="B1511" i="2"/>
  <c r="B1508" i="2"/>
  <c r="B2956" i="2"/>
  <c r="B272" i="2"/>
  <c r="B2591" i="2"/>
  <c r="B2590" i="2"/>
  <c r="B1718" i="2"/>
  <c r="B622" i="2"/>
  <c r="B2925" i="2"/>
  <c r="B261" i="2"/>
  <c r="B3132" i="2"/>
  <c r="B449" i="2"/>
  <c r="B77" i="2"/>
  <c r="B76" i="2"/>
  <c r="B967" i="2"/>
  <c r="B961" i="2"/>
  <c r="B621" i="2"/>
  <c r="B2913" i="2"/>
  <c r="B285" i="2"/>
  <c r="B237" i="2"/>
  <c r="B153" i="2"/>
  <c r="B1725" i="2"/>
  <c r="B1742" i="2"/>
  <c r="B240" i="2"/>
  <c r="B1981" i="2"/>
  <c r="B1980" i="2"/>
  <c r="B2726" i="2"/>
  <c r="B2071" i="2"/>
  <c r="B2804" i="2"/>
  <c r="B2041" i="2"/>
  <c r="B440" i="2"/>
  <c r="B243" i="2"/>
  <c r="B1997" i="2"/>
  <c r="B1269" i="2"/>
  <c r="B448" i="2"/>
  <c r="B3348" i="2"/>
  <c r="B3307" i="2"/>
  <c r="B3202" i="2"/>
  <c r="B866" i="2"/>
  <c r="B18" i="2"/>
  <c r="B1370" i="2"/>
  <c r="B2089" i="2"/>
  <c r="B2090" i="2"/>
  <c r="B1369" i="2"/>
  <c r="B3358" i="2"/>
  <c r="B1142" i="2"/>
  <c r="B1141" i="2"/>
  <c r="B2111" i="2"/>
  <c r="B2110" i="2"/>
  <c r="B2109" i="2"/>
  <c r="B2108" i="2"/>
  <c r="B2107" i="2"/>
  <c r="B2092" i="2"/>
  <c r="B2106" i="2"/>
  <c r="B2105" i="2"/>
  <c r="B2104" i="2"/>
  <c r="B2103" i="2"/>
  <c r="B2102" i="2"/>
  <c r="B2101" i="2"/>
  <c r="B2100" i="2"/>
  <c r="B2099" i="2"/>
  <c r="B2098" i="2"/>
  <c r="B2097" i="2"/>
  <c r="B2096" i="2"/>
  <c r="B2095" i="2"/>
  <c r="B2094" i="2"/>
  <c r="B2093" i="2"/>
  <c r="B2091" i="2"/>
  <c r="B1173" i="2"/>
  <c r="B633" i="2"/>
  <c r="B2593" i="2"/>
  <c r="B680" i="2"/>
  <c r="B638" i="2"/>
  <c r="B641" i="2"/>
  <c r="B963" i="2"/>
  <c r="B636" i="2"/>
  <c r="B635" i="2"/>
  <c r="B637" i="2"/>
  <c r="B1187" i="2"/>
  <c r="B1186" i="2"/>
  <c r="B3197" i="2"/>
  <c r="B632" i="2"/>
  <c r="B1525" i="2"/>
  <c r="B1522" i="2"/>
  <c r="B1515" i="2"/>
  <c r="B1516" i="2"/>
  <c r="B1354" i="2"/>
  <c r="B3537" i="2"/>
  <c r="B3559" i="2"/>
  <c r="B3581" i="2"/>
  <c r="B3582" i="2"/>
  <c r="B3558" i="2"/>
  <c r="B3578" i="2"/>
  <c r="B3579" i="2"/>
  <c r="B3580" i="2"/>
  <c r="B3536" i="2"/>
  <c r="B226" i="2"/>
  <c r="B25" i="2"/>
  <c r="B2926" i="2"/>
  <c r="B2378" i="2"/>
  <c r="B3179" i="2"/>
  <c r="B295" i="2"/>
  <c r="B277" i="2"/>
  <c r="B170" i="2"/>
  <c r="B169" i="2"/>
  <c r="B171" i="2"/>
  <c r="B949" i="2"/>
  <c r="B951" i="2"/>
  <c r="B953" i="2"/>
  <c r="B950" i="2"/>
  <c r="B948" i="2"/>
  <c r="B952" i="2"/>
  <c r="B1023" i="2"/>
  <c r="B74" i="2"/>
  <c r="B1689" i="2"/>
  <c r="B73" i="2"/>
  <c r="B72" i="2"/>
  <c r="B2801" i="2"/>
  <c r="B2018" i="2"/>
  <c r="B3234" i="2"/>
  <c r="B144" i="2"/>
  <c r="B143" i="2"/>
  <c r="B731" i="2"/>
  <c r="B732" i="2"/>
  <c r="B2551" i="2"/>
  <c r="B852" i="2"/>
  <c r="B1781" i="2"/>
  <c r="B1069" i="2"/>
  <c r="B1085" i="2"/>
  <c r="B877" i="2"/>
  <c r="B1817" i="2"/>
  <c r="B1738" i="2"/>
  <c r="B2866" i="2"/>
  <c r="B2867" i="2"/>
  <c r="B2979" i="2"/>
  <c r="B3352" i="2"/>
  <c r="B3151" i="2"/>
  <c r="B75" i="2"/>
  <c r="B241" i="2"/>
  <c r="B242" i="2"/>
  <c r="B2841" i="2"/>
  <c r="B1661" i="2"/>
  <c r="B1662" i="2"/>
  <c r="B1663" i="2"/>
  <c r="B1679" i="2"/>
  <c r="B1678" i="2"/>
  <c r="B1675" i="2"/>
  <c r="B1681" i="2"/>
  <c r="B1676" i="2"/>
  <c r="B1680" i="2"/>
  <c r="B1684" i="2"/>
  <c r="B1677" i="2"/>
  <c r="B1674" i="2"/>
  <c r="B1682" i="2"/>
  <c r="B1683" i="2"/>
  <c r="B1667" i="2"/>
  <c r="B2011" i="2"/>
  <c r="B1153" i="2"/>
  <c r="B1157" i="2"/>
  <c r="B1953" i="2"/>
  <c r="B363" i="2"/>
  <c r="B206" i="2"/>
  <c r="B202" i="2"/>
  <c r="B203" i="2"/>
  <c r="B771" i="2"/>
  <c r="B2601" i="2"/>
  <c r="B15" i="2"/>
  <c r="B1749" i="2"/>
  <c r="B217" i="2"/>
  <c r="B1158" i="2"/>
  <c r="B1664" i="2"/>
  <c r="B1736" i="2"/>
  <c r="B2481" i="2"/>
  <c r="B649" i="2"/>
  <c r="B2963" i="2"/>
  <c r="B413" i="2"/>
  <c r="B1696" i="2"/>
  <c r="B1655" i="2"/>
  <c r="B1189" i="2"/>
  <c r="B878" i="2"/>
  <c r="B1194" i="2"/>
  <c r="B1190" i="2"/>
  <c r="B1191" i="2"/>
  <c r="B1167" i="2"/>
  <c r="B639" i="2"/>
  <c r="B634" i="2"/>
  <c r="B1481" i="2"/>
  <c r="B1518" i="2"/>
  <c r="B1480" i="2"/>
  <c r="B2063" i="2"/>
  <c r="B3386" i="2"/>
  <c r="B3263" i="2"/>
  <c r="B3247" i="2"/>
  <c r="B871" i="2"/>
  <c r="B872" i="2"/>
  <c r="B873" i="2"/>
  <c r="B2488" i="2"/>
  <c r="B2489" i="2"/>
  <c r="B874" i="2"/>
  <c r="B918" i="2"/>
  <c r="B805" i="2"/>
  <c r="B2079" i="2"/>
  <c r="B920" i="2"/>
  <c r="B2482" i="2"/>
  <c r="B884" i="2"/>
  <c r="B804" i="2"/>
  <c r="B916" i="2"/>
  <c r="B883" i="2"/>
  <c r="B882" i="2"/>
  <c r="B1392" i="2"/>
  <c r="B915" i="2"/>
  <c r="B1656" i="2"/>
  <c r="B3183" i="2"/>
  <c r="B919" i="2"/>
  <c r="B2980" i="2"/>
  <c r="B1978" i="2"/>
  <c r="B927" i="2"/>
  <c r="B514" i="2"/>
  <c r="B515" i="2"/>
  <c r="B1471" i="2"/>
  <c r="B1319" i="2"/>
  <c r="B1211" i="2"/>
  <c r="B1307" i="2"/>
  <c r="B2211" i="2"/>
  <c r="B327" i="2"/>
  <c r="B328" i="2"/>
  <c r="B326" i="2"/>
  <c r="B275" i="2"/>
  <c r="B565" i="2"/>
  <c r="B274" i="2"/>
  <c r="B1737" i="2"/>
  <c r="B1422" i="2"/>
  <c r="B2201" i="2"/>
  <c r="B3264" i="2"/>
  <c r="B214" i="2"/>
  <c r="B1123" i="2"/>
  <c r="B583" i="2"/>
  <c r="B219" i="2"/>
  <c r="B1996" i="2"/>
  <c r="B2814" i="2"/>
  <c r="B1995" i="2"/>
  <c r="B216" i="2"/>
  <c r="B215" i="2"/>
  <c r="B1120" i="2"/>
  <c r="B2600" i="2"/>
  <c r="B2048" i="2"/>
  <c r="B2819" i="2"/>
  <c r="B2818" i="2"/>
  <c r="B1585" i="2"/>
  <c r="B1584" i="2"/>
  <c r="B2596" i="2"/>
  <c r="B1447" i="2"/>
  <c r="B2070" i="2"/>
  <c r="B2074" i="2"/>
  <c r="B212" i="2"/>
  <c r="B597" i="2"/>
  <c r="B2072" i="2"/>
  <c r="B1586" i="2"/>
  <c r="B1048" i="2"/>
  <c r="B2553" i="2"/>
  <c r="B211" i="2"/>
  <c r="B1091" i="2"/>
  <c r="B1994" i="2"/>
  <c r="B3330" i="2"/>
  <c r="B2029" i="2"/>
  <c r="B2598" i="2"/>
  <c r="B645" i="2"/>
  <c r="B1169" i="2"/>
  <c r="B643" i="2"/>
  <c r="B213" i="2"/>
  <c r="B2816" i="2"/>
  <c r="B1382" i="2"/>
  <c r="B1687" i="2"/>
  <c r="B1688" i="2"/>
  <c r="B673" i="2"/>
  <c r="B675" i="2"/>
  <c r="B676" i="2"/>
  <c r="B1358" i="2"/>
  <c r="B1196" i="2"/>
  <c r="B1357" i="2"/>
  <c r="B1195" i="2"/>
  <c r="B2969" i="2"/>
  <c r="B2849" i="2"/>
  <c r="B2850" i="2"/>
  <c r="B3195" i="2"/>
  <c r="B2966" i="2"/>
  <c r="B708" i="2"/>
  <c r="B709" i="2"/>
  <c r="B229" i="2"/>
  <c r="B231" i="2"/>
  <c r="B2038" i="2"/>
  <c r="B1514" i="2"/>
  <c r="B1112" i="2"/>
  <c r="B1119" i="2"/>
  <c r="B1118" i="2"/>
  <c r="B1111" i="2"/>
  <c r="B1790" i="2"/>
  <c r="B1178" i="2"/>
  <c r="B1175" i="2"/>
  <c r="B1174" i="2"/>
  <c r="B1513" i="2"/>
  <c r="B1107" i="2"/>
  <c r="B3194" i="2"/>
  <c r="B1117" i="2"/>
  <c r="B1159" i="2"/>
  <c r="B2083" i="2"/>
  <c r="B3265" i="2"/>
  <c r="B1121" i="2"/>
  <c r="B2484" i="2"/>
  <c r="B1105" i="2"/>
  <c r="B2030" i="2"/>
  <c r="B1106" i="2"/>
  <c r="B1814" i="2"/>
  <c r="B1998" i="2"/>
  <c r="B2082" i="2"/>
  <c r="B3285" i="2"/>
  <c r="B495" i="2"/>
  <c r="B1791" i="2"/>
  <c r="B1792" i="2"/>
  <c r="B1227" i="2"/>
  <c r="B1228" i="2"/>
  <c r="B1147" i="2"/>
  <c r="B1146" i="2"/>
  <c r="B1148" i="2"/>
  <c r="B3199" i="2"/>
  <c r="B3186" i="2"/>
  <c r="B175" i="2"/>
  <c r="B174" i="2"/>
  <c r="B1114" i="2"/>
  <c r="B1109" i="2"/>
  <c r="B176" i="2"/>
  <c r="B173" i="2"/>
  <c r="B1113" i="2"/>
  <c r="B1108" i="2"/>
  <c r="B1813" i="2"/>
  <c r="B1116" i="2"/>
  <c r="B1103" i="2"/>
  <c r="B1962" i="2"/>
  <c r="B1099" i="2"/>
  <c r="B1102" i="2"/>
  <c r="B1110" i="2"/>
  <c r="B1104" i="2"/>
  <c r="B1100" i="2"/>
  <c r="B1233" i="2"/>
  <c r="B1101" i="2"/>
  <c r="B1098" i="2"/>
  <c r="B178" i="2"/>
  <c r="B177" i="2"/>
  <c r="B494" i="2"/>
  <c r="B490" i="2"/>
  <c r="B491" i="2"/>
  <c r="B3138" i="2"/>
  <c r="B1177" i="2"/>
  <c r="B1149" i="2"/>
  <c r="B922" i="2"/>
  <c r="B921" i="2"/>
  <c r="B544" i="2"/>
  <c r="B2064" i="2"/>
  <c r="B1348" i="2"/>
  <c r="B179" i="2"/>
  <c r="B594" i="2"/>
  <c r="B181" i="2"/>
  <c r="B271" i="2"/>
  <c r="B1686" i="2"/>
  <c r="B3206" i="2"/>
  <c r="B740" i="2"/>
  <c r="B739" i="2"/>
  <c r="B199" i="2"/>
  <c r="B3233" i="2"/>
  <c r="B489" i="2"/>
  <c r="B488" i="2"/>
  <c r="B3243" i="2"/>
  <c r="B2016" i="2"/>
  <c r="B1465" i="2"/>
  <c r="B2839" i="2"/>
  <c r="B1786" i="2"/>
  <c r="B2785" i="2"/>
  <c r="B2599" i="2"/>
  <c r="B2808" i="2"/>
  <c r="B27" i="2"/>
  <c r="B1776" i="2"/>
  <c r="B1775" i="2"/>
  <c r="B366" i="2"/>
  <c r="B2843" i="2"/>
  <c r="B2604" i="2"/>
  <c r="B3238" i="2"/>
  <c r="B3237" i="2"/>
  <c r="B2485" i="2"/>
  <c r="B654" i="2"/>
  <c r="B824" i="2"/>
  <c r="B826" i="2"/>
  <c r="B655" i="2"/>
  <c r="B742" i="2"/>
  <c r="B741" i="2"/>
  <c r="B1144" i="2"/>
  <c r="B1145" i="2"/>
  <c r="B1213" i="2"/>
  <c r="B1212" i="2"/>
  <c r="B1201" i="2"/>
  <c r="B1202" i="2"/>
  <c r="B1344" i="2"/>
  <c r="B2023" i="2"/>
  <c r="B2550" i="2"/>
  <c r="B1345" i="2"/>
  <c r="B2055" i="2"/>
  <c r="B1347" i="2"/>
  <c r="B1340" i="2"/>
  <c r="B2205" i="2"/>
  <c r="B1049" i="2"/>
  <c r="B1052" i="2"/>
  <c r="B1050" i="2"/>
  <c r="B1051" i="2"/>
  <c r="B3205" i="2"/>
  <c r="B3204" i="2"/>
  <c r="B881" i="2"/>
  <c r="B879" i="2"/>
  <c r="B880" i="2"/>
  <c r="B2881" i="2"/>
  <c r="B976" i="2"/>
  <c r="B2086" i="2"/>
  <c r="B975" i="2"/>
  <c r="B3095" i="2"/>
  <c r="B3376" i="2"/>
  <c r="B3093" i="2"/>
  <c r="B3278" i="2"/>
  <c r="B546" i="2"/>
  <c r="B547" i="2"/>
  <c r="B485" i="2"/>
  <c r="B2056" i="2"/>
  <c r="B1301" i="2"/>
  <c r="B945" i="2"/>
  <c r="B1243" i="2"/>
  <c r="B1247" i="2"/>
  <c r="B1244" i="2"/>
  <c r="B1266" i="2"/>
  <c r="B849" i="2"/>
  <c r="B947" i="2"/>
  <c r="B2916" i="2"/>
  <c r="B1452" i="2"/>
  <c r="B1451" i="2"/>
  <c r="B3370" i="2"/>
  <c r="B2031" i="2"/>
  <c r="B1427" i="2"/>
  <c r="B1425" i="2"/>
  <c r="B16" i="2"/>
  <c r="B1239" i="2"/>
  <c r="B1240" i="2"/>
  <c r="B1288" i="2"/>
  <c r="B1374" i="2"/>
  <c r="B1373" i="2"/>
  <c r="B1273" i="2"/>
  <c r="B1272" i="2"/>
  <c r="B1270" i="2"/>
  <c r="B1251" i="2"/>
  <c r="B1249" i="2"/>
  <c r="B1271" i="2"/>
  <c r="B1250" i="2"/>
  <c r="B2582" i="2"/>
  <c r="B1551" i="2"/>
  <c r="B1666" i="2"/>
  <c r="B1143" i="2"/>
  <c r="B848" i="2"/>
  <c r="B845" i="2"/>
  <c r="B846" i="2"/>
  <c r="B3236" i="2"/>
  <c r="B3148" i="2"/>
  <c r="B475" i="2"/>
  <c r="B230" i="2"/>
  <c r="B2013" i="2"/>
  <c r="B1235" i="2"/>
  <c r="B1236" i="2"/>
  <c r="B979" i="2"/>
  <c r="B946" i="2"/>
  <c r="B2711" i="2"/>
  <c r="B944" i="2"/>
  <c r="B943" i="2"/>
  <c r="B745" i="2"/>
  <c r="B1777" i="2"/>
  <c r="B3361" i="2"/>
  <c r="B3269" i="2"/>
  <c r="B658" i="2"/>
  <c r="B660" i="2"/>
  <c r="B661" i="2"/>
  <c r="B3235" i="2"/>
  <c r="B2864" i="2"/>
  <c r="B657" i="2"/>
  <c r="B659" i="2"/>
  <c r="B647" i="2"/>
  <c r="B2865" i="2"/>
  <c r="B2944" i="2"/>
  <c r="B2075" i="2"/>
  <c r="B344" i="2"/>
  <c r="B180" i="2"/>
  <c r="B1467" i="2"/>
  <c r="B1496" i="2"/>
  <c r="B2065" i="2"/>
  <c r="B1783" i="2"/>
  <c r="B715" i="2"/>
  <c r="B1260" i="2"/>
  <c r="B1262" i="2"/>
  <c r="B3231" i="2"/>
  <c r="B1263" i="2"/>
  <c r="B798" i="2"/>
  <c r="B3220" i="2"/>
  <c r="B1264" i="2"/>
  <c r="B1464" i="2"/>
  <c r="B1267" i="2"/>
  <c r="B697" i="2"/>
  <c r="B1268" i="2"/>
  <c r="B2017" i="2"/>
  <c r="B717" i="2"/>
  <c r="B1217" i="2"/>
  <c r="B628" i="2"/>
  <c r="B2464" i="2"/>
  <c r="B2851" i="2"/>
  <c r="B2848" i="2"/>
  <c r="B450" i="2"/>
  <c r="B481" i="2"/>
  <c r="B451" i="2"/>
  <c r="B1985" i="2"/>
  <c r="B482" i="2"/>
  <c r="B476" i="2"/>
  <c r="B712" i="2"/>
  <c r="B393" i="2"/>
  <c r="B627" i="2"/>
  <c r="B2461" i="2"/>
  <c r="B548" i="2"/>
  <c r="B3146" i="2"/>
  <c r="B832" i="2"/>
  <c r="B1835" i="2"/>
  <c r="B1940" i="2"/>
  <c r="B822" i="2"/>
  <c r="B821" i="2"/>
  <c r="B2448" i="2"/>
  <c r="B2447" i="2"/>
  <c r="B1874" i="2"/>
  <c r="B2233" i="2"/>
  <c r="B3593" i="2"/>
  <c r="B1314" i="2"/>
  <c r="B1337" i="2"/>
  <c r="B1315" i="2"/>
  <c r="B1338" i="2"/>
  <c r="B2240" i="2"/>
  <c r="B1313" i="2"/>
  <c r="B2445" i="2"/>
  <c r="B1312" i="2"/>
  <c r="B2446" i="2"/>
  <c r="B168" i="2"/>
  <c r="B1836" i="2"/>
  <c r="B2438" i="2"/>
  <c r="B2437" i="2"/>
  <c r="B2443" i="2"/>
  <c r="B1320" i="2"/>
  <c r="B1331" i="2"/>
  <c r="B1317" i="2"/>
  <c r="B1316" i="2"/>
  <c r="B2442" i="2"/>
  <c r="B1330" i="2"/>
  <c r="B378" i="2"/>
  <c r="B608" i="2"/>
  <c r="B1356" i="2"/>
  <c r="B3207" i="2"/>
  <c r="B332" i="2"/>
  <c r="B536" i="2"/>
  <c r="B604" i="2"/>
  <c r="B3560" i="2"/>
  <c r="B1335" i="2"/>
  <c r="B3587" i="2"/>
  <c r="B1334" i="2"/>
  <c r="B3589" i="2"/>
  <c r="B3588" i="2"/>
  <c r="B619" i="2"/>
  <c r="B1124" i="2"/>
  <c r="B1007" i="2"/>
  <c r="B2239" i="2"/>
  <c r="B2991" i="2"/>
  <c r="B2895" i="2"/>
  <c r="B3586" i="2"/>
  <c r="B232" i="2"/>
  <c r="B986" i="2"/>
  <c r="B218" i="2"/>
  <c r="B1040" i="2"/>
  <c r="B1039" i="2"/>
  <c r="B865" i="2"/>
  <c r="B862" i="2"/>
  <c r="B863" i="2"/>
  <c r="B864" i="2"/>
  <c r="B3585" i="2"/>
  <c r="B1829" i="2"/>
  <c r="B850" i="2"/>
  <c r="B3533" i="2"/>
  <c r="B2394" i="2"/>
  <c r="B2186" i="2"/>
  <c r="B3049" i="2"/>
  <c r="B3532" i="2"/>
  <c r="B3584" i="2"/>
  <c r="B318" i="2"/>
  <c r="B317" i="2"/>
  <c r="B316" i="2"/>
  <c r="B823" i="2"/>
  <c r="B831" i="2"/>
  <c r="B830" i="2"/>
  <c r="B827" i="2"/>
  <c r="B1328" i="2"/>
  <c r="B2554" i="2"/>
  <c r="B1439" i="2"/>
  <c r="B1428" i="2"/>
  <c r="B1429" i="2"/>
  <c r="B1333" i="2"/>
  <c r="B1449" i="2"/>
  <c r="B1440" i="2"/>
  <c r="B1983" i="2"/>
  <c r="B3182" i="2"/>
  <c r="B829" i="2"/>
  <c r="B835" i="2"/>
  <c r="B834" i="2"/>
  <c r="B833" i="2"/>
  <c r="B1785" i="2"/>
  <c r="B3180" i="2"/>
  <c r="B1087" i="2"/>
  <c r="B3172" i="2"/>
  <c r="B2949" i="2"/>
  <c r="B3016" i="2"/>
  <c r="B2002" i="2"/>
  <c r="B790" i="2"/>
  <c r="B117" i="2"/>
  <c r="B118" i="2"/>
  <c r="B1139" i="2"/>
  <c r="B839" i="2"/>
  <c r="B841" i="2"/>
  <c r="B842" i="2"/>
  <c r="B836" i="2"/>
  <c r="B2912" i="2"/>
  <c r="B3088" i="2"/>
  <c r="B1252" i="2"/>
  <c r="B1248" i="2"/>
  <c r="B308" i="2"/>
  <c r="B1332" i="2"/>
  <c r="B1380" i="2"/>
  <c r="B1276" i="2"/>
  <c r="B1253" i="2"/>
  <c r="B3124" i="2"/>
  <c r="B3123" i="2"/>
  <c r="B3125" i="2"/>
  <c r="B2918" i="2"/>
  <c r="B1381" i="2"/>
  <c r="B2950" i="2"/>
  <c r="B1459" i="2"/>
  <c r="B96" i="2"/>
  <c r="B90" i="2"/>
  <c r="B557" i="2"/>
  <c r="B3274" i="2"/>
  <c r="B816" i="2"/>
  <c r="B3322" i="2"/>
  <c r="B1851" i="2"/>
  <c r="B273" i="2"/>
  <c r="B797" i="2"/>
  <c r="B1784" i="2"/>
  <c r="B2385" i="2"/>
  <c r="B2386" i="2"/>
  <c r="B3059" i="2"/>
  <c r="B3380" i="2"/>
  <c r="B281" i="2"/>
  <c r="B185" i="2"/>
  <c r="B189" i="2"/>
  <c r="B85" i="2"/>
  <c r="B184" i="2"/>
  <c r="B2508" i="2"/>
  <c r="B1909" i="2"/>
  <c r="B2182" i="2"/>
  <c r="B2451" i="2"/>
  <c r="B861" i="2"/>
  <c r="B855" i="2"/>
  <c r="B856" i="2"/>
  <c r="B1917" i="2"/>
  <c r="B1932" i="2"/>
  <c r="B1933" i="2"/>
  <c r="B1918" i="2"/>
  <c r="B1865" i="2"/>
  <c r="B92" i="2"/>
  <c r="B3101" i="2"/>
  <c r="B93" i="2"/>
  <c r="B1058" i="2"/>
  <c r="B1056" i="2"/>
  <c r="B1057" i="2"/>
  <c r="B913" i="2"/>
  <c r="B98" i="2"/>
  <c r="B381" i="2"/>
  <c r="B3173" i="2"/>
  <c r="B1984" i="2"/>
  <c r="B1128" i="2"/>
  <c r="B3260" i="2"/>
  <c r="B2088" i="2"/>
  <c r="B3317" i="2"/>
  <c r="B2019" i="2"/>
  <c r="B2026" i="2"/>
  <c r="B1025" i="2"/>
  <c r="B3109" i="2"/>
  <c r="B1992" i="2"/>
  <c r="B789" i="2"/>
  <c r="B801" i="2"/>
  <c r="B800" i="2"/>
  <c r="B94" i="2"/>
  <c r="B91" i="2"/>
  <c r="B1986" i="2"/>
  <c r="B3383" i="2"/>
  <c r="B3390" i="2"/>
  <c r="B3017" i="2"/>
  <c r="B2164" i="2"/>
  <c r="B3620" i="2"/>
  <c r="B1542" i="2"/>
  <c r="B2580" i="2"/>
  <c r="B796" i="2"/>
  <c r="B1575" i="2"/>
  <c r="B2581" i="2"/>
  <c r="B3321" i="2"/>
  <c r="B1540" i="2"/>
  <c r="B1539" i="2"/>
  <c r="B1002" i="2"/>
  <c r="B1541" i="2"/>
  <c r="B1086" i="2"/>
  <c r="B89" i="2"/>
  <c r="B196" i="2"/>
  <c r="B1000" i="2"/>
  <c r="B31" i="2"/>
  <c r="B1184" i="2"/>
  <c r="B40" i="2"/>
  <c r="B2947" i="2"/>
  <c r="B1164" i="2"/>
  <c r="B2076" i="2"/>
  <c r="B2162" i="2"/>
  <c r="B1952" i="2"/>
  <c r="B1766" i="2"/>
  <c r="B1615" i="2"/>
  <c r="B47" i="2"/>
  <c r="B44" i="2"/>
  <c r="B43" i="2"/>
  <c r="B45" i="2"/>
  <c r="B1810" i="2"/>
  <c r="B48" i="2"/>
  <c r="B46" i="2"/>
  <c r="B1162" i="2"/>
  <c r="B42" i="2"/>
  <c r="B59" i="2"/>
  <c r="B1806" i="2"/>
  <c r="B17" i="2"/>
  <c r="B1171" i="2"/>
  <c r="B36" i="2"/>
  <c r="B2408" i="2"/>
  <c r="B2454" i="2"/>
  <c r="B2933" i="2"/>
  <c r="B3597" i="2"/>
  <c r="B1843" i="2"/>
  <c r="B1845" i="2"/>
  <c r="B3609" i="2"/>
  <c r="B2615" i="2"/>
  <c r="B1265" i="2"/>
  <c r="B2061" i="2"/>
  <c r="B1234" i="2"/>
  <c r="B3032" i="2"/>
  <c r="B3091" i="2"/>
  <c r="B1185" i="2"/>
  <c r="B3004" i="2"/>
  <c r="B1176" i="2"/>
  <c r="B306" i="2"/>
  <c r="B1165" i="2"/>
  <c r="B1170" i="2"/>
  <c r="B2199" i="2"/>
  <c r="B2641" i="2"/>
  <c r="B41" i="2"/>
  <c r="B1163" i="2"/>
  <c r="B2197" i="2"/>
  <c r="B2487" i="2"/>
  <c r="B753" i="2"/>
  <c r="B752" i="2"/>
  <c r="B2678" i="2"/>
  <c r="B1846" i="2"/>
  <c r="B2676" i="2"/>
  <c r="B2291" i="2"/>
  <c r="B1842" i="2"/>
  <c r="B1847" i="2"/>
  <c r="B2825" i="2"/>
  <c r="B2163" i="2"/>
  <c r="B1951" i="2"/>
  <c r="B2680" i="2"/>
  <c r="B2677" i="2"/>
  <c r="B3134" i="2"/>
  <c r="B714" i="2"/>
  <c r="B1832" i="2"/>
  <c r="B2557" i="2"/>
  <c r="B3039" i="2"/>
  <c r="B1138" i="2"/>
  <c r="B1137" i="2"/>
  <c r="B2507" i="2"/>
  <c r="B2292" i="2"/>
  <c r="B2449" i="2"/>
  <c r="B3600" i="2"/>
  <c r="B3599" i="2"/>
  <c r="B3144" i="2"/>
  <c r="B611" i="2"/>
  <c r="B2166" i="2"/>
  <c r="B605" i="2"/>
  <c r="B606" i="2"/>
  <c r="B2" i="2"/>
  <c r="B2284" i="2"/>
  <c r="B2296" i="2"/>
  <c r="B2293" i="2"/>
  <c r="B2746" i="2"/>
  <c r="B2769" i="2"/>
  <c r="B2752" i="2"/>
  <c r="B2751" i="2"/>
  <c r="B2750" i="2"/>
  <c r="B2749" i="2"/>
  <c r="B2748" i="2"/>
  <c r="B2753" i="2"/>
  <c r="B2754" i="2"/>
  <c r="B3158" i="2"/>
  <c r="B2755" i="2"/>
  <c r="B2786" i="2"/>
  <c r="B2763" i="2"/>
  <c r="B2745" i="2"/>
  <c r="B1939" i="2"/>
  <c r="B2762" i="2"/>
  <c r="B2761" i="2"/>
  <c r="B2141" i="2"/>
  <c r="B2759" i="2"/>
  <c r="B2136" i="2"/>
  <c r="B2760" i="2"/>
  <c r="B2747" i="2"/>
  <c r="B2757" i="2"/>
  <c r="B3327" i="2"/>
  <c r="B3149" i="2"/>
  <c r="B2756" i="2"/>
  <c r="B2139" i="2"/>
  <c r="B2758" i="2"/>
  <c r="B1612" i="2"/>
  <c r="B1765" i="2"/>
  <c r="B3156" i="2"/>
  <c r="B1794" i="2"/>
  <c r="B2147" i="2"/>
  <c r="B2276" i="2"/>
  <c r="B1878" i="2"/>
  <c r="B1860" i="2"/>
  <c r="B182" i="2"/>
  <c r="B2404" i="2"/>
  <c r="B2704" i="2"/>
  <c r="B3072" i="2"/>
  <c r="B2198" i="2"/>
  <c r="B2202" i="2"/>
  <c r="B1975" i="2"/>
  <c r="B1852" i="2"/>
  <c r="B1361" i="2"/>
  <c r="B736" i="2"/>
  <c r="B1928" i="2"/>
  <c r="B1913" i="2"/>
  <c r="B2885" i="2"/>
  <c r="B2403" i="2"/>
  <c r="B2189" i="2"/>
  <c r="B1849" i="2"/>
  <c r="B2829" i="2"/>
  <c r="B2143" i="2"/>
  <c r="B2764" i="2"/>
  <c r="B2277" i="2"/>
  <c r="B1859" i="2"/>
  <c r="B2679" i="2"/>
  <c r="B2556" i="2"/>
  <c r="B2831" i="2"/>
  <c r="B114" i="2"/>
  <c r="B2935" i="2"/>
  <c r="B607" i="2"/>
  <c r="B613" i="2"/>
  <c r="B614" i="2"/>
  <c r="B2847" i="2"/>
  <c r="B618" i="2"/>
  <c r="B610" i="2"/>
  <c r="B2425" i="2"/>
  <c r="B1161" i="2"/>
  <c r="B2283" i="2"/>
  <c r="B3142" i="2"/>
  <c r="B2921" i="2"/>
  <c r="B2974" i="2"/>
  <c r="B3596" i="2"/>
  <c r="B1135" i="2"/>
  <c r="B1134" i="2"/>
  <c r="B2548" i="2"/>
  <c r="B3598" i="2"/>
  <c r="B1838" i="2"/>
  <c r="B2407" i="2"/>
  <c r="B2609" i="2"/>
  <c r="B2230" i="2"/>
  <c r="B2938" i="2"/>
  <c r="B2934" i="2"/>
  <c r="B1416" i="2"/>
  <c r="B1415" i="2"/>
  <c r="B1417" i="2"/>
  <c r="B3119" i="2"/>
  <c r="B802" i="2"/>
  <c r="B383" i="2"/>
  <c r="B3385" i="2"/>
  <c r="B38" i="2"/>
  <c r="B425" i="2"/>
  <c r="B39" i="2"/>
  <c r="B37" i="2"/>
  <c r="B1912" i="2"/>
  <c r="B2298" i="2"/>
  <c r="B497" i="2"/>
  <c r="B2022" i="2"/>
  <c r="B2552" i="2"/>
  <c r="B1215" i="2"/>
  <c r="B2295" i="2"/>
  <c r="B2811" i="2"/>
  <c r="B2297" i="2"/>
  <c r="B1047" i="2"/>
  <c r="B396" i="2"/>
  <c r="B2200" i="2"/>
  <c r="B428" i="2"/>
  <c r="B2823" i="2"/>
  <c r="B372" i="2"/>
  <c r="B2824" i="2"/>
  <c r="B3047" i="2"/>
  <c r="B384" i="2"/>
  <c r="B1974" i="2"/>
  <c r="B1844" i="2"/>
  <c r="B972" i="2"/>
  <c r="B2902" i="2"/>
  <c r="B1848" i="2"/>
  <c r="B2828" i="2"/>
  <c r="B2832" i="2"/>
  <c r="B1879" i="2"/>
  <c r="B2876" i="2"/>
  <c r="B2721" i="2"/>
  <c r="B2722" i="2"/>
  <c r="B2774" i="2"/>
  <c r="B2724" i="2"/>
  <c r="B2723" i="2"/>
  <c r="B2773" i="2"/>
  <c r="B2772" i="2"/>
  <c r="B1614" i="2"/>
  <c r="B2729" i="2"/>
  <c r="B2728" i="2"/>
  <c r="B2732" i="2"/>
  <c r="B2731" i="2"/>
  <c r="B2132" i="2"/>
  <c r="B2768" i="2"/>
  <c r="B2767" i="2"/>
  <c r="B2740" i="2"/>
  <c r="B2739" i="2"/>
  <c r="B3135" i="2"/>
  <c r="B2736" i="2"/>
  <c r="B2741" i="2"/>
  <c r="B2738" i="2"/>
  <c r="B2742" i="2"/>
  <c r="B2130" i="2"/>
  <c r="B2743" i="2"/>
  <c r="B2734" i="2"/>
  <c r="B2730" i="2"/>
  <c r="B1613" i="2"/>
  <c r="B2140" i="2"/>
  <c r="B2737" i="2"/>
  <c r="B3157" i="2"/>
  <c r="B2133" i="2"/>
  <c r="B2655" i="2"/>
  <c r="B2775" i="2"/>
  <c r="B2776" i="2"/>
  <c r="B2771" i="2"/>
  <c r="B2770" i="2"/>
  <c r="B2131" i="2"/>
  <c r="B2733" i="2"/>
  <c r="B2134" i="2"/>
  <c r="B2735" i="2"/>
  <c r="B2135" i="2"/>
  <c r="B652" i="2"/>
  <c r="B2450" i="2"/>
  <c r="B2452" i="2"/>
  <c r="B2871" i="2"/>
  <c r="B1900" i="2"/>
  <c r="B807" i="2"/>
  <c r="B808" i="2"/>
  <c r="B2512" i="2"/>
  <c r="B2183" i="2"/>
  <c r="B1840" i="2"/>
  <c r="B2826" i="2"/>
  <c r="B2870" i="2"/>
  <c r="B2429" i="2"/>
  <c r="B2869" i="2"/>
  <c r="B2594" i="2"/>
  <c r="B2043" i="2"/>
  <c r="B371" i="2"/>
  <c r="B2725" i="2"/>
  <c r="B3216" i="2"/>
  <c r="B1488" i="2"/>
  <c r="B1457" i="2"/>
  <c r="B1856" i="2"/>
  <c r="B899" i="2"/>
  <c r="B1858" i="2"/>
  <c r="B897" i="2"/>
  <c r="B896" i="2"/>
  <c r="B895" i="2"/>
  <c r="B1866" i="2"/>
  <c r="B1638" i="2"/>
  <c r="B2830" i="2"/>
  <c r="B1929" i="2"/>
  <c r="B2953" i="2"/>
  <c r="B2059" i="2"/>
  <c r="B2282" i="2"/>
  <c r="B2877" i="2"/>
  <c r="B1880" i="2"/>
  <c r="B1977" i="2"/>
  <c r="B1976" i="2"/>
  <c r="B2203" i="2"/>
  <c r="B2254" i="2"/>
  <c r="B2889" i="2"/>
  <c r="B3168" i="2"/>
  <c r="B1599" i="2"/>
  <c r="B2948" i="2"/>
  <c r="B1219" i="2"/>
  <c r="B696" i="2"/>
  <c r="B1218" i="2"/>
  <c r="B3167" i="2"/>
  <c r="B3169" i="2"/>
  <c r="B2272" i="2"/>
  <c r="B3154" i="2"/>
  <c r="B1893" i="2"/>
  <c r="B3033" i="2"/>
  <c r="B2273" i="2"/>
  <c r="B1901" i="2"/>
  <c r="B1833" i="2"/>
  <c r="B2533" i="2"/>
  <c r="B2558" i="2"/>
  <c r="B2778" i="2"/>
  <c r="B2779" i="2"/>
  <c r="B2702" i="2"/>
  <c r="B1420" i="2"/>
  <c r="B1282" i="2"/>
  <c r="B670" i="2"/>
  <c r="B269" i="2"/>
  <c r="B267" i="2"/>
  <c r="B1601" i="2"/>
  <c r="B161" i="2"/>
  <c r="B1778" i="2"/>
  <c r="B779" i="2"/>
  <c r="B3061" i="2"/>
  <c r="B329" i="2"/>
  <c r="B2206" i="2"/>
  <c r="B772" i="2"/>
  <c r="B2585" i="2"/>
  <c r="B1509" i="2"/>
  <c r="B1798" i="2"/>
  <c r="B1064" i="2"/>
  <c r="B1067" i="2"/>
  <c r="B1063" i="2"/>
  <c r="B1061" i="2"/>
  <c r="B1770" i="2"/>
  <c r="B1065" i="2"/>
  <c r="B1066" i="2"/>
  <c r="B2151" i="2"/>
  <c r="B1062" i="2"/>
  <c r="B1068" i="2"/>
  <c r="B3185" i="2"/>
  <c r="B985" i="2"/>
  <c r="B983" i="2"/>
  <c r="B982" i="2"/>
  <c r="B2028" i="2"/>
  <c r="B984" i="2"/>
  <c r="B3227" i="2"/>
  <c r="B3226" i="2"/>
  <c r="B357" i="2"/>
  <c r="B2204" i="2"/>
  <c r="B2149" i="2"/>
  <c r="B1921" i="2"/>
  <c r="B1894" i="2"/>
  <c r="B1903" i="2"/>
  <c r="B2717" i="2"/>
  <c r="B1582" i="2"/>
  <c r="B778" i="2"/>
  <c r="B1979" i="2"/>
  <c r="B2820" i="2"/>
  <c r="B1920" i="2"/>
  <c r="B487" i="2"/>
  <c r="B3133" i="2"/>
  <c r="B1890" i="2"/>
  <c r="B1898" i="2"/>
  <c r="B484" i="2"/>
  <c r="B1895" i="2"/>
  <c r="B1469" i="2"/>
  <c r="B1547" i="2"/>
  <c r="B1468" i="2"/>
  <c r="B364" i="2"/>
  <c r="B2919" i="2"/>
  <c r="B13" i="2"/>
  <c r="B1094" i="2"/>
  <c r="B1125" i="2"/>
  <c r="B711" i="2"/>
  <c r="B362" i="2"/>
  <c r="B361" i="2"/>
  <c r="B438" i="2"/>
  <c r="B355" i="2"/>
  <c r="B360" i="2"/>
  <c r="B356" i="2"/>
  <c r="B3228" i="2"/>
  <c r="B498" i="2"/>
  <c r="B3028" i="2"/>
  <c r="B2433" i="2"/>
  <c r="B493" i="2"/>
  <c r="B2432" i="2"/>
  <c r="B2964" i="2"/>
  <c r="B358" i="2"/>
  <c r="B2884" i="2"/>
  <c r="B838" i="2"/>
  <c r="B473" i="2"/>
  <c r="B1914" i="2"/>
  <c r="B1924" i="2"/>
  <c r="B1850" i="2"/>
  <c r="B1204" i="2"/>
  <c r="B1203" i="2"/>
  <c r="B1206" i="2"/>
  <c r="B1205" i="2"/>
  <c r="B1927" i="2"/>
  <c r="B1930" i="2"/>
  <c r="B1070" i="2"/>
  <c r="B556" i="2"/>
  <c r="B3011" i="2"/>
  <c r="B345" i="2"/>
  <c r="B346" i="2"/>
  <c r="B1926" i="2"/>
  <c r="B1925" i="2"/>
  <c r="B1923" i="2"/>
  <c r="B1915" i="2"/>
  <c r="B1922" i="2"/>
  <c r="B1881" i="2"/>
  <c r="B1876" i="2"/>
  <c r="B1855" i="2"/>
  <c r="B1857" i="2"/>
  <c r="B1854" i="2"/>
  <c r="B1919" i="2"/>
  <c r="B1875" i="2"/>
  <c r="B1877" i="2"/>
  <c r="B1916" i="2"/>
  <c r="B191" i="2"/>
  <c r="B2020" i="2"/>
  <c r="B2541" i="2"/>
  <c r="B2537" i="2"/>
  <c r="B3232" i="2"/>
  <c r="B349" i="2"/>
  <c r="B2542" i="2"/>
  <c r="B2544" i="2"/>
  <c r="B2274" i="2"/>
  <c r="B3187" i="2"/>
  <c r="B3300" i="2"/>
  <c r="B3340" i="2"/>
  <c r="B1657" i="2"/>
  <c r="B2618" i="2"/>
  <c r="B2152" i="2"/>
  <c r="B1826" i="2"/>
  <c r="B1999" i="2"/>
  <c r="B2719" i="2"/>
  <c r="B2150" i="2"/>
  <c r="B3625" i="2"/>
  <c r="B3623" i="2"/>
  <c r="B3594" i="2"/>
  <c r="B3595" i="2"/>
  <c r="B2904" i="2"/>
  <c r="B2377" i="2"/>
  <c r="B860" i="2"/>
  <c r="B851" i="2"/>
  <c r="B2069" i="2"/>
  <c r="B1588" i="2"/>
  <c r="B1197" i="2"/>
  <c r="B819" i="2"/>
  <c r="B1969" i="2"/>
  <c r="B1812" i="2"/>
  <c r="B999" i="2"/>
  <c r="B998" i="2"/>
  <c r="B914" i="2"/>
  <c r="B1982" i="2"/>
  <c r="B1259" i="2"/>
  <c r="B1256" i="2"/>
  <c r="B1255" i="2"/>
  <c r="B1258" i="2"/>
  <c r="B1780" i="2"/>
  <c r="B2463" i="2"/>
  <c r="B3137" i="2"/>
  <c r="B1122" i="2"/>
  <c r="B1" i="2"/>
  <c r="B704" i="2"/>
  <c r="B543" i="2"/>
  <c r="B2486" i="2"/>
  <c r="B612" i="2"/>
  <c r="B2049" i="2"/>
  <c r="B382" i="2"/>
  <c r="B3624" i="2"/>
  <c r="B705" i="2"/>
  <c r="B2014" i="2"/>
  <c r="B765" i="2"/>
  <c r="B699" i="2"/>
  <c r="B698" i="2"/>
  <c r="B2462" i="2"/>
  <c r="B3381" i="2"/>
  <c r="B2005" i="2"/>
  <c r="B2718" i="2"/>
  <c r="B602" i="2"/>
  <c r="B599" i="2"/>
  <c r="B600" i="2"/>
  <c r="B2597" i="2"/>
  <c r="B1567" i="2"/>
  <c r="B3250" i="2"/>
  <c r="B1565" i="2"/>
  <c r="B1564" i="2"/>
  <c r="B3240" i="2"/>
  <c r="B2810" i="2"/>
  <c r="B1553" i="2"/>
  <c r="B1552" i="2"/>
  <c r="B1557" i="2"/>
  <c r="B1556" i="2"/>
  <c r="B1555" i="2"/>
  <c r="B3256" i="2"/>
  <c r="B1136" i="2"/>
  <c r="B2695" i="2"/>
  <c r="B3107" i="2"/>
  <c r="B1453" i="2"/>
  <c r="B1042" i="2"/>
  <c r="B1409" i="2"/>
  <c r="B1454" i="2"/>
  <c r="B1401" i="2"/>
  <c r="B2693" i="2"/>
  <c r="B1412" i="2"/>
  <c r="B1411" i="2"/>
  <c r="B1574" i="2"/>
  <c r="B1573" i="2"/>
  <c r="B3108" i="2"/>
  <c r="B3304" i="2"/>
  <c r="B1779" i="2"/>
  <c r="B3309" i="2"/>
  <c r="B3305" i="2"/>
  <c r="B3110" i="2"/>
  <c r="B2129" i="2"/>
  <c r="B1811" i="2"/>
  <c r="B1554" i="2"/>
  <c r="B1456" i="2"/>
  <c r="B2878" i="2"/>
  <c r="B2906" i="2"/>
  <c r="B339" i="2"/>
  <c r="B1441" i="2"/>
  <c r="B1400" i="2"/>
  <c r="B1397" i="2"/>
  <c r="B1398" i="2"/>
  <c r="B477" i="2"/>
  <c r="B1413" i="2"/>
  <c r="B1435" i="2"/>
  <c r="B1436" i="2"/>
  <c r="B3184" i="2"/>
  <c r="B1437" i="2"/>
  <c r="B1434" i="2"/>
  <c r="B1431" i="2"/>
  <c r="B1430" i="2"/>
  <c r="B1432" i="2"/>
  <c r="B2234" i="2"/>
  <c r="B1433" i="2"/>
  <c r="B1438" i="2"/>
  <c r="B1286" i="2"/>
  <c r="B3170" i="2"/>
  <c r="B1285" i="2"/>
  <c r="B1306" i="2"/>
  <c r="B2128" i="2"/>
  <c r="B1290" i="2"/>
  <c r="B2543" i="2"/>
  <c r="B2294" i="2"/>
  <c r="B3251" i="2"/>
  <c r="B3000" i="2"/>
  <c r="B3242" i="2"/>
  <c r="B2039" i="2"/>
  <c r="B1621" i="2"/>
  <c r="B1970" i="2"/>
  <c r="B1960" i="2"/>
  <c r="B2032" i="2"/>
  <c r="B1188" i="2"/>
  <c r="B1443" i="2"/>
  <c r="B1442" i="2"/>
  <c r="B2428" i="2"/>
  <c r="B2999" i="2"/>
  <c r="B3384" i="2"/>
  <c r="B3281" i="2"/>
  <c r="B3021" i="2"/>
  <c r="B3029" i="2"/>
  <c r="B3344" i="2"/>
  <c r="B2905" i="2"/>
  <c r="B2376" i="2"/>
  <c r="B162" i="2"/>
  <c r="B718" i="2"/>
  <c r="B166" i="2"/>
  <c r="B1327" i="2"/>
  <c r="B734" i="2"/>
  <c r="B278" i="2"/>
  <c r="B719" i="2"/>
  <c r="B1379" i="2"/>
  <c r="B720" i="2"/>
  <c r="B1326" i="2"/>
  <c r="B721" i="2"/>
  <c r="B1787" i="2"/>
  <c r="B2538" i="2"/>
  <c r="B1140" i="2"/>
  <c r="B314" i="2"/>
  <c r="B1360" i="2"/>
  <c r="B2289" i="2"/>
  <c r="B310" i="2"/>
  <c r="B1303" i="2"/>
  <c r="B3301" i="2"/>
  <c r="B2608" i="2"/>
  <c r="B3341" i="2"/>
  <c r="B307" i="2"/>
  <c r="B735" i="2"/>
  <c r="B1367" i="2"/>
  <c r="B193" i="2"/>
  <c r="B1304" i="2"/>
  <c r="B3346" i="2"/>
  <c r="B3018" i="2"/>
  <c r="B1769" i="2"/>
  <c r="B313" i="2"/>
  <c r="B1073" i="2"/>
  <c r="B1072" i="2"/>
  <c r="B3245" i="2"/>
  <c r="B385" i="2"/>
  <c r="B2084" i="2"/>
  <c r="B1580" i="2"/>
  <c r="B932" i="2"/>
  <c r="B1735" i="2"/>
  <c r="B3266" i="2"/>
  <c r="B575" i="2"/>
  <c r="B2116" i="2"/>
  <c r="B2112" i="2"/>
  <c r="B19" i="2"/>
  <c r="B1043" i="2"/>
  <c r="B1579" i="2"/>
  <c r="B616" i="2"/>
  <c r="B387" i="2"/>
  <c r="B1583" i="2"/>
  <c r="B112" i="2"/>
  <c r="B1510" i="2"/>
  <c r="B2290" i="2"/>
  <c r="B2549" i="2"/>
  <c r="B2532" i="2"/>
  <c r="B1192" i="2"/>
  <c r="B1193" i="2"/>
  <c r="B663" i="2"/>
  <c r="B662" i="2"/>
  <c r="B3252" i="2"/>
  <c r="B2951" i="2"/>
  <c r="B3019" i="2"/>
  <c r="B555" i="2"/>
  <c r="B388" i="2"/>
  <c r="B1965" i="2"/>
  <c r="B379" i="2"/>
  <c r="B3246" i="2"/>
  <c r="B337" i="2"/>
  <c r="B2465" i="2"/>
  <c r="B165" i="2"/>
  <c r="B146" i="2"/>
  <c r="B3244" i="2"/>
  <c r="B1485" i="2"/>
  <c r="B2988" i="2"/>
  <c r="B1479" i="2"/>
  <c r="B3286" i="2"/>
  <c r="B2539" i="2"/>
  <c r="B113" i="2"/>
  <c r="B1414" i="2"/>
  <c r="B61" i="2"/>
  <c r="B2952" i="2"/>
  <c r="B2955" i="2"/>
  <c r="B2958" i="2"/>
  <c r="B2978" i="2"/>
  <c r="B2970" i="2"/>
  <c r="B2713" i="2"/>
  <c r="B2690" i="2"/>
  <c r="B3314" i="2"/>
  <c r="B2660" i="2"/>
  <c r="B2661" i="2"/>
  <c r="B2659" i="2"/>
  <c r="B2662" i="2"/>
  <c r="B2663" i="2"/>
  <c r="B52" i="2"/>
  <c r="B1082" i="2"/>
  <c r="B1011" i="2"/>
  <c r="B1008" i="2"/>
  <c r="B3075" i="2"/>
  <c r="B3065" i="2"/>
  <c r="B1009" i="2"/>
  <c r="B3592" i="2"/>
  <c r="B1537" i="2"/>
  <c r="B1538" i="2"/>
  <c r="B3353" i="2"/>
  <c r="B1001" i="2"/>
  <c r="B1080" i="2"/>
  <c r="B3328" i="2"/>
  <c r="B1079" i="2"/>
  <c r="B1180" i="2"/>
  <c r="B1172" i="2"/>
  <c r="B2473" i="2"/>
  <c r="B1075" i="2"/>
  <c r="B1077" i="2"/>
  <c r="B3423" i="2"/>
  <c r="B1815" i="2"/>
  <c r="B3531" i="2"/>
  <c r="B2727" i="2"/>
  <c r="B2015" i="2"/>
  <c r="B2217" i="2"/>
  <c r="B2992" i="2"/>
  <c r="B3077" i="2"/>
  <c r="B1074" i="2"/>
  <c r="B1081" i="2"/>
  <c r="B3430" i="2"/>
  <c r="B2911" i="2"/>
  <c r="B1078" i="2"/>
  <c r="B1076" i="2"/>
  <c r="B1059" i="2"/>
  <c r="B2159" i="2"/>
  <c r="B892" i="2"/>
  <c r="B891" i="2"/>
  <c r="B2994" i="2"/>
  <c r="B1527" i="2"/>
  <c r="B889" i="2"/>
  <c r="B3590" i="2"/>
  <c r="B1528" i="2"/>
  <c r="B890" i="2"/>
  <c r="B2686" i="2"/>
  <c r="B3431" i="2"/>
  <c r="B2689" i="2"/>
  <c r="B2688" i="2"/>
  <c r="B2687" i="2"/>
  <c r="B2685" i="2"/>
  <c r="B1391" i="2"/>
  <c r="B2299" i="2"/>
  <c r="B3378" i="2"/>
  <c r="B2459" i="2"/>
  <c r="B3001" i="2"/>
  <c r="B3429" i="2"/>
  <c r="B2684" i="2"/>
  <c r="B29" i="2"/>
  <c r="B2118" i="2"/>
  <c r="B2115" i="2"/>
  <c r="B3092" i="2"/>
  <c r="B2683" i="2"/>
  <c r="B3200" i="2"/>
  <c r="B2658" i="2"/>
  <c r="B1773" i="2"/>
  <c r="B2681" i="2"/>
  <c r="B2827" i="2"/>
  <c r="B2694" i="2"/>
  <c r="B2656" i="2"/>
  <c r="B3280" i="2"/>
  <c r="B3617" i="2"/>
  <c r="B1961" i="2"/>
  <c r="B2643" i="2"/>
  <c r="B1809" i="2"/>
  <c r="B1772" i="2"/>
  <c r="B3350" i="2"/>
  <c r="B2691" i="2"/>
  <c r="B2657" i="2"/>
  <c r="B2682" i="2"/>
  <c r="B2647" i="2"/>
  <c r="B2888" i="2"/>
  <c r="B2708" i="2"/>
  <c r="B431" i="2"/>
  <c r="B429" i="2"/>
  <c r="B430" i="2"/>
  <c r="B2995" i="2"/>
  <c r="B2903" i="2"/>
  <c r="B3565" i="2"/>
  <c r="B3591" i="2"/>
  <c r="B3563" i="2"/>
  <c r="B3564" i="2"/>
  <c r="B3562" i="2"/>
  <c r="B3566" i="2"/>
  <c r="B1526" i="2"/>
  <c r="B1529" i="2"/>
  <c r="B1060" i="2"/>
  <c r="B755" i="2"/>
  <c r="B756" i="2"/>
  <c r="B759" i="2"/>
  <c r="B760" i="2"/>
  <c r="B2635" i="2"/>
  <c r="B2636" i="2"/>
  <c r="B3312" i="2"/>
  <c r="B2669" i="2"/>
  <c r="B2625" i="2"/>
  <c r="B2626" i="2"/>
  <c r="B2627" i="2"/>
  <c r="B3316" i="2"/>
  <c r="B3239" i="2"/>
  <c r="B3051" i="2"/>
  <c r="B2617" i="2"/>
  <c r="B2640" i="2"/>
  <c r="B2453" i="2"/>
  <c r="B2928" i="2"/>
  <c r="B1759" i="2"/>
  <c r="B2675" i="2"/>
  <c r="B3313" i="2"/>
  <c r="B3082" i="2"/>
  <c r="B3073" i="2"/>
  <c r="B2117" i="2"/>
  <c r="B2114" i="2"/>
  <c r="B2633" i="2"/>
  <c r="B3354" i="2"/>
  <c r="B2628" i="2"/>
  <c r="B1808" i="2"/>
  <c r="B2623" i="2"/>
  <c r="B2267" i="2"/>
  <c r="B2638" i="2"/>
  <c r="B2993" i="2"/>
  <c r="B2223" i="2"/>
  <c r="B3351" i="2"/>
  <c r="B2664" i="2"/>
  <c r="B2632" i="2"/>
  <c r="B2620" i="2"/>
  <c r="B3128" i="2"/>
  <c r="B3428" i="2"/>
  <c r="B2611" i="2"/>
  <c r="B1820" i="2"/>
  <c r="B2612" i="2"/>
  <c r="B1796" i="2"/>
  <c r="B2146" i="2"/>
  <c r="B2637" i="2"/>
  <c r="B1755" i="2"/>
  <c r="B1622" i="2"/>
  <c r="B1816" i="2"/>
  <c r="B2614" i="2"/>
  <c r="B3614" i="2"/>
  <c r="B3615" i="2"/>
  <c r="B2616" i="2"/>
  <c r="B2622" i="2"/>
  <c r="B2460" i="2"/>
  <c r="B2225" i="2"/>
  <c r="B2387" i="2"/>
  <c r="B2846" i="2"/>
  <c r="B2409" i="2"/>
  <c r="B1760" i="2"/>
  <c r="B3613" i="2"/>
  <c r="B2665" i="2"/>
  <c r="B2630" i="2"/>
  <c r="B8" i="2"/>
  <c r="B2000" i="2"/>
  <c r="B2004" i="2"/>
  <c r="B3389" i="2"/>
  <c r="B3392" i="2"/>
  <c r="B2709" i="2"/>
  <c r="B3618" i="2"/>
  <c r="B2653" i="2"/>
  <c r="B2652" i="2"/>
  <c r="B1550" i="2"/>
  <c r="B3007" i="2"/>
  <c r="B2671" i="2"/>
  <c r="B2670" i="2"/>
  <c r="B1957" i="2"/>
  <c r="B1956" i="2"/>
  <c r="B1964" i="2"/>
  <c r="B1758" i="2"/>
  <c r="B3619" i="2"/>
  <c r="B2667" i="2"/>
  <c r="B3079" i="2"/>
  <c r="B2654" i="2"/>
  <c r="B1771" i="2"/>
  <c r="B2644" i="2"/>
  <c r="B2649" i="2"/>
  <c r="B2642" i="2"/>
  <c r="B2650" i="2"/>
  <c r="B2645" i="2"/>
  <c r="B2646" i="2"/>
  <c r="B2924" i="2"/>
  <c r="B441" i="2"/>
  <c r="B2900" i="2"/>
  <c r="B3338" i="2"/>
  <c r="B2216" i="2"/>
  <c r="B1822" i="2"/>
  <c r="B3367" i="2"/>
  <c r="B3315" i="2"/>
  <c r="B1959" i="2"/>
  <c r="B2634" i="2"/>
  <c r="B2621" i="2"/>
  <c r="B1958" i="2"/>
  <c r="B1968" i="2"/>
  <c r="B3394" i="2"/>
  <c r="B3357" i="2"/>
  <c r="B2987" i="2"/>
  <c r="B2629" i="2"/>
  <c r="B3427" i="2"/>
  <c r="B2631" i="2"/>
  <c r="B1823" i="2"/>
  <c r="B2624" i="2"/>
  <c r="B2651" i="2"/>
  <c r="B2613" i="2"/>
  <c r="B2648" i="2"/>
  <c r="B2668" i="2"/>
  <c r="B1761" i="2"/>
  <c r="B2009" i="2"/>
  <c r="B3241" i="2"/>
  <c r="B3356" i="2"/>
  <c r="B2666" i="2"/>
  <c r="B20" i="2"/>
  <c r="B1214" i="2"/>
  <c r="B912" i="2"/>
  <c r="B911" i="2"/>
  <c r="B376" i="2"/>
  <c r="B1827" i="2"/>
  <c r="B702" i="2"/>
  <c r="B2396" i="2"/>
  <c r="B2990" i="2"/>
  <c r="B2218" i="2"/>
  <c r="B1702" i="2"/>
  <c r="B2399" i="2"/>
  <c r="B2160" i="2"/>
  <c r="B511" i="2"/>
  <c r="B3576" i="2"/>
  <c r="B3575" i="2"/>
  <c r="B3568" i="2"/>
  <c r="B3550" i="2"/>
  <c r="B3553" i="2"/>
  <c r="B2165" i="2"/>
  <c r="B3555" i="2"/>
  <c r="B3557" i="2"/>
  <c r="B3552" i="2"/>
  <c r="B2411" i="2"/>
  <c r="B3554" i="2"/>
  <c r="B3577" i="2"/>
  <c r="B3556" i="2"/>
  <c r="B3574" i="2"/>
  <c r="B3583" i="2"/>
  <c r="B1543" i="2"/>
  <c r="B3571" i="2"/>
  <c r="B3572" i="2"/>
  <c r="B2288" i="2"/>
  <c r="B480" i="2"/>
  <c r="B256" i="2"/>
  <c r="B2940" i="2"/>
  <c r="B3545" i="2"/>
  <c r="B1566" i="2"/>
  <c r="B3551" i="2"/>
  <c r="B3569" i="2"/>
  <c r="B3570" i="2"/>
  <c r="B51" i="2"/>
  <c r="B2176" i="2"/>
  <c r="B3547" i="2"/>
  <c r="B3546" i="2"/>
  <c r="B2178" i="2"/>
  <c r="B2989" i="2"/>
  <c r="B1570" i="2"/>
  <c r="B1571" i="2"/>
  <c r="B1562" i="2"/>
  <c r="B1561" i="2"/>
  <c r="B1559" i="2"/>
  <c r="B1560" i="2"/>
  <c r="B1568" i="2"/>
  <c r="B1589" i="2"/>
  <c r="B1756" i="2"/>
  <c r="B3076" i="2"/>
  <c r="B2861" i="2"/>
  <c r="B1549" i="2"/>
  <c r="B1548" i="2"/>
  <c r="B1546" i="2"/>
  <c r="B3022" i="2"/>
  <c r="B3295" i="2"/>
  <c r="B2837" i="2"/>
  <c r="B2967" i="2"/>
  <c r="B2859" i="2"/>
  <c r="B2836" i="2"/>
  <c r="B2860" i="2"/>
  <c r="B2858" i="2"/>
  <c r="B12" i="2"/>
  <c r="B2854" i="2"/>
  <c r="B3297" i="2"/>
  <c r="B3298" i="2"/>
  <c r="B1445" i="2"/>
  <c r="B1446" i="2"/>
  <c r="B2835" i="2"/>
  <c r="B3078" i="2"/>
  <c r="B2852" i="2"/>
  <c r="B2874" i="2"/>
  <c r="B1423" i="2"/>
  <c r="B1563" i="2"/>
  <c r="B1444" i="2"/>
  <c r="B1424" i="2"/>
  <c r="B1450" i="2"/>
  <c r="B3031" i="2"/>
  <c r="B2838" i="2"/>
  <c r="B885" i="2"/>
  <c r="B886" i="2"/>
  <c r="B2536" i="2"/>
  <c r="B3063" i="2"/>
  <c r="B3050" i="2"/>
  <c r="B2458" i="2"/>
  <c r="B2692" i="2"/>
  <c r="B417" i="2"/>
  <c r="B2863" i="2"/>
  <c r="B1545" i="2"/>
  <c r="B2696" i="2"/>
  <c r="B1544" i="2"/>
  <c r="B3323" i="2"/>
  <c r="B2862" i="2"/>
  <c r="B1343" i="2"/>
  <c r="B2389" i="2"/>
  <c r="B2398" i="2"/>
  <c r="B1569" i="2"/>
  <c r="B2187" i="2"/>
  <c r="B2937" i="2"/>
  <c r="B3541" i="2"/>
  <c r="B3540" i="2"/>
  <c r="B2194" i="2"/>
  <c r="B2395" i="2"/>
  <c r="B2419" i="2"/>
  <c r="B3544" i="2"/>
  <c r="B3543" i="2"/>
  <c r="B2177" i="2"/>
  <c r="B3542" i="2"/>
  <c r="B3573" i="2"/>
  <c r="B1609" i="2"/>
  <c r="B1610" i="2"/>
  <c r="B2287" i="2"/>
  <c r="B1281" i="2"/>
  <c r="B1280" i="2"/>
  <c r="B3538" i="2"/>
  <c r="B2412" i="2"/>
  <c r="B3539" i="2"/>
  <c r="B3003" i="2"/>
  <c r="B3272" i="2"/>
  <c r="B1466" i="2"/>
  <c r="B2382" i="2"/>
  <c r="B1605" i="2"/>
  <c r="B1604" i="2"/>
  <c r="B1603" i="2"/>
  <c r="B1602" i="2"/>
  <c r="B1279" i="2"/>
  <c r="B910" i="2"/>
  <c r="B466" i="2"/>
  <c r="B1278" i="2"/>
  <c r="B671" i="2"/>
  <c r="B266" i="2"/>
  <c r="B3561" i="2"/>
  <c r="B268" i="2"/>
  <c r="B1828" i="2"/>
  <c r="B1607" i="2"/>
  <c r="B1608" i="2"/>
  <c r="B2169" i="2"/>
  <c r="B3277" i="2"/>
  <c r="B2120" i="2"/>
  <c r="B2119" i="2"/>
  <c r="B3070" i="2"/>
  <c r="B3360" i="2"/>
  <c r="B3083" i="2"/>
  <c r="B3355" i="2"/>
  <c r="B3090" i="2"/>
  <c r="B3010" i="2"/>
  <c r="B3012" i="2"/>
  <c r="B2121" i="2"/>
  <c r="B3276" i="2"/>
  <c r="B1805" i="2"/>
  <c r="B3009" i="2"/>
  <c r="B1577" i="2"/>
  <c r="B28" i="2"/>
  <c r="B2300" i="2"/>
  <c r="B1594" i="2"/>
  <c r="B1593" i="2"/>
  <c r="B1807" i="2"/>
  <c r="B1597" i="2"/>
  <c r="B1598" i="2"/>
  <c r="B3283" i="2"/>
  <c r="B1620" i="2"/>
  <c r="B2777" i="2"/>
  <c r="B2720" i="2"/>
  <c r="B2699" i="2"/>
  <c r="B2698" i="2"/>
  <c r="B2122" i="2"/>
  <c r="B1590" i="2"/>
  <c r="B2697" i="2"/>
  <c r="B1591" i="2"/>
  <c r="B1592" i="2"/>
  <c r="B1595" i="2"/>
  <c r="B1596" i="2"/>
  <c r="B1587" i="2"/>
  <c r="B1606" i="2"/>
  <c r="B3086" i="2"/>
  <c r="B3567" i="2"/>
  <c r="B1277" i="2"/>
  <c r="B463" i="2"/>
  <c r="B1027" i="2"/>
  <c r="B1028" i="2"/>
  <c r="B1029" i="2"/>
  <c r="B1026" i="2"/>
  <c r="B236" i="2"/>
  <c r="B933" i="2"/>
  <c r="B2010" i="2"/>
  <c r="B2125" i="2"/>
  <c r="B286" i="2"/>
  <c r="B2126" i="2"/>
  <c r="B2856" i="2"/>
  <c r="B3058" i="2"/>
  <c r="B1519" i="2"/>
  <c r="B722" i="2"/>
  <c r="B3105" i="2"/>
  <c r="B309" i="2"/>
  <c r="B1038" i="2"/>
  <c r="B1035" i="2"/>
  <c r="B1036" i="2"/>
  <c r="B1037" i="2"/>
  <c r="B194" i="2"/>
  <c r="B195" i="2"/>
  <c r="B2286" i="2"/>
  <c r="B221" i="2"/>
  <c r="B297" i="2"/>
  <c r="B2285" i="2"/>
  <c r="B666" i="2"/>
  <c r="B2899" i="2"/>
  <c r="B225" i="2"/>
  <c r="B2173" i="2"/>
  <c r="B2172" i="2"/>
  <c r="B1033" i="2"/>
  <c r="B1034" i="2"/>
  <c r="B1017" i="2"/>
  <c r="B1021" i="2"/>
  <c r="B1022" i="2"/>
  <c r="B1020" i="2"/>
  <c r="B1018" i="2"/>
  <c r="B1019" i="2"/>
  <c r="B3549" i="2"/>
  <c r="B3548" i="2"/>
  <c r="B2401" i="2"/>
  <c r="B2586" i="2"/>
  <c r="B62" i="2"/>
  <c r="B63" i="2"/>
  <c r="B2008" i="2"/>
  <c r="B1482" i="2"/>
  <c r="B1351" i="2"/>
  <c r="B1083" i="2"/>
  <c r="B1084" i="2"/>
  <c r="B988" i="2"/>
  <c r="B987" i="2"/>
  <c r="B990" i="2"/>
  <c r="B989" i="2"/>
  <c r="B3432" i="2"/>
  <c r="B1797" i="2"/>
  <c r="B980" i="2"/>
  <c r="B981" i="2"/>
  <c r="B2047" i="2"/>
  <c r="B978" i="2"/>
  <c r="B2123" i="2"/>
  <c r="B432" i="2"/>
  <c r="B3320" i="2"/>
  <c r="B265" i="2"/>
  <c r="B2857" i="2"/>
  <c r="B2124" i="2"/>
  <c r="B288" i="2"/>
  <c r="B3319" i="2"/>
  <c r="B109" i="2"/>
  <c r="B3120" i="2"/>
  <c r="B3118" i="2"/>
  <c r="B287" i="2"/>
  <c r="B2060" i="2"/>
  <c r="B2540" i="2"/>
  <c r="B2534" i="2"/>
  <c r="B2559" i="2"/>
  <c r="B3273" i="2"/>
  <c r="B2986" i="2"/>
  <c r="B2766" i="2"/>
  <c r="B1967" i="2"/>
  <c r="B2672" i="2"/>
  <c r="B122" i="2"/>
  <c r="B102" i="2"/>
  <c r="B1972" i="2"/>
  <c r="B1131" i="2"/>
  <c r="B1129" i="2"/>
  <c r="B1130" i="2"/>
  <c r="B3203" i="2"/>
  <c r="B3359" i="2"/>
  <c r="B1535" i="2"/>
  <c r="B299" i="2"/>
  <c r="B3369" i="2"/>
  <c r="B119" i="2"/>
  <c r="B3284" i="2"/>
  <c r="B82" i="2"/>
  <c r="B3064" i="2"/>
  <c r="B2674" i="2"/>
  <c r="B847" i="2"/>
  <c r="B3121" i="2"/>
  <c r="B1600" i="2"/>
  <c r="B368" i="2"/>
  <c r="B3005" i="2"/>
  <c r="B2996" i="2"/>
  <c r="B370" i="2"/>
  <c r="B3057" i="2"/>
  <c r="B2997" i="2"/>
  <c r="B369" i="2"/>
  <c r="B2170" i="2"/>
  <c r="B3616" i="2"/>
  <c r="B3622" i="2"/>
  <c r="B1015" i="2"/>
  <c r="B1014" i="2"/>
  <c r="B1418" i="2"/>
  <c r="B123" i="2"/>
  <c r="B1222" i="2"/>
  <c r="B1911" i="2"/>
  <c r="B3035" i="2"/>
  <c r="B1492" i="2"/>
  <c r="B1493" i="2"/>
  <c r="B1478" i="2"/>
  <c r="B1483" i="2"/>
  <c r="B1474" i="2"/>
  <c r="B3056" i="2"/>
  <c r="B1477" i="2"/>
  <c r="B1476" i="2"/>
  <c r="B1473" i="2"/>
  <c r="B1472" i="2"/>
  <c r="B3224" i="2"/>
  <c r="B1531" i="2"/>
  <c r="B1534" i="2"/>
  <c r="B1532" i="2"/>
  <c r="B1533" i="2"/>
  <c r="B3052" i="2"/>
  <c r="B1730" i="2"/>
  <c r="B1728" i="2"/>
  <c r="B1727" i="2"/>
  <c r="B1729" i="2"/>
  <c r="B1726" i="2"/>
  <c r="B3189" i="2"/>
  <c r="B3288" i="2"/>
  <c r="B1712" i="2"/>
  <c r="B1486" i="2"/>
  <c r="B1724" i="2"/>
  <c r="B1711" i="2"/>
  <c r="B1530" i="2"/>
  <c r="B2915" i="2"/>
  <c r="B3420" i="2"/>
  <c r="B1536" i="2"/>
  <c r="B1494" i="2"/>
  <c r="B1495" i="2"/>
  <c r="B1889" i="2"/>
  <c r="B535" i="2"/>
  <c r="B2207" i="2"/>
  <c r="B2210" i="2"/>
  <c r="B2208" i="2"/>
  <c r="B2257" i="2"/>
  <c r="B2251" i="2"/>
  <c r="B1861" i="2"/>
  <c r="B959" i="2"/>
  <c r="B960" i="2"/>
  <c r="B669" i="2"/>
  <c r="B2262" i="2"/>
  <c r="B2261" i="2"/>
  <c r="B2260" i="2"/>
  <c r="B2258" i="2"/>
  <c r="B1892" i="2"/>
  <c r="B574" i="2"/>
  <c r="B1904" i="2"/>
  <c r="B2248" i="2"/>
  <c r="B2247" i="2"/>
  <c r="B2245" i="2"/>
  <c r="B2246" i="2"/>
  <c r="B1862" i="2"/>
  <c r="B294" i="2"/>
  <c r="B1841" i="2"/>
  <c r="B2275" i="2"/>
  <c r="B1872" i="2"/>
  <c r="B1935" i="2"/>
  <c r="B1934" i="2"/>
  <c r="B2424" i="2"/>
  <c r="B1897" i="2"/>
  <c r="B1891" i="2"/>
  <c r="B2040" i="2"/>
  <c r="B26" i="2"/>
  <c r="B601" i="2"/>
  <c r="B957" i="2"/>
  <c r="B525" i="2"/>
  <c r="B3104" i="2"/>
  <c r="B3106" i="2"/>
  <c r="B455" i="2"/>
  <c r="B591" i="2"/>
  <c r="B857" i="2"/>
  <c r="B1220" i="2"/>
  <c r="B598" i="2"/>
  <c r="B1226" i="2"/>
  <c r="B956" i="2"/>
  <c r="B1372" i="2"/>
  <c r="B585" i="2"/>
  <c r="B1223" i="2"/>
  <c r="B513" i="2"/>
  <c r="B524" i="2"/>
  <c r="B523" i="2"/>
  <c r="B3253" i="2"/>
  <c r="B3249" i="2"/>
  <c r="B3221" i="2"/>
  <c r="B527" i="2"/>
  <c r="B762" i="2"/>
  <c r="B528" i="2"/>
  <c r="B1321" i="2"/>
  <c r="B811" i="2"/>
  <c r="B64" i="2"/>
  <c r="B133" i="2"/>
  <c r="B1421" i="2"/>
  <c r="B1520" i="2"/>
  <c r="B49" i="2"/>
  <c r="B1399" i="2"/>
  <c r="B2583" i="2"/>
  <c r="B764" i="2"/>
  <c r="B2592" i="2"/>
  <c r="B763" i="2"/>
  <c r="B518" i="2"/>
  <c r="B521" i="2"/>
  <c r="B519" i="2"/>
  <c r="B520" i="2"/>
  <c r="B1004" i="2"/>
  <c r="B3271" i="2"/>
  <c r="B3024" i="2"/>
  <c r="B270" i="2"/>
  <c r="B775" i="2"/>
  <c r="B777" i="2"/>
  <c r="B776" i="2"/>
  <c r="B2914" i="2"/>
  <c r="B2012" i="2"/>
  <c r="B50" i="2"/>
  <c r="B24" i="2"/>
  <c r="B163" i="2"/>
  <c r="B572" i="2"/>
  <c r="B560" i="2"/>
  <c r="B2271" i="2"/>
  <c r="B552" i="2"/>
  <c r="B887" i="2"/>
  <c r="B888" i="2"/>
  <c r="B1426" i="2"/>
  <c r="B2471" i="2"/>
  <c r="B1115" i="2"/>
  <c r="B1055" i="2"/>
  <c r="B1044" i="2"/>
  <c r="B3230" i="2"/>
  <c r="B3422" i="2"/>
  <c r="B149" i="2"/>
  <c r="B2813" i="2"/>
  <c r="B2812" i="2"/>
  <c r="B335" i="2"/>
  <c r="B334" i="2"/>
  <c r="B336" i="2"/>
  <c r="B2468" i="2"/>
  <c r="B227" i="2"/>
  <c r="B228" i="2"/>
  <c r="B3084" i="2"/>
  <c r="B2209" i="2"/>
  <c r="B542" i="2"/>
  <c r="B541" i="2"/>
  <c r="B540" i="2"/>
  <c r="B539" i="2"/>
  <c r="B538" i="2"/>
  <c r="B537" i="2"/>
  <c r="B120" i="2"/>
  <c r="B2892" i="2"/>
  <c r="B2305" i="2"/>
  <c r="B83" i="2"/>
  <c r="B3060" i="2"/>
  <c r="B2304" i="2"/>
  <c r="B2457" i="2"/>
  <c r="B3062" i="2"/>
  <c r="B124" i="2"/>
  <c r="B2307" i="2"/>
  <c r="B70" i="2"/>
  <c r="B517" i="2"/>
  <c r="B2545" i="2"/>
  <c r="B2535" i="2"/>
  <c r="B3153" i="2"/>
  <c r="B137" i="2"/>
  <c r="B136" i="2"/>
  <c r="B134" i="2"/>
  <c r="B135" i="2"/>
  <c r="B2547" i="2"/>
  <c r="B2546" i="2"/>
  <c r="B3229" i="2"/>
  <c r="B530" i="2"/>
  <c r="B3526" i="2"/>
  <c r="B3096" i="2"/>
  <c r="B1502" i="2"/>
  <c r="B1355" i="2"/>
  <c r="B532" i="2"/>
  <c r="B2051" i="2"/>
  <c r="B1336" i="2"/>
  <c r="B2306" i="2"/>
  <c r="B1032" i="2"/>
  <c r="B58" i="2"/>
  <c r="B2303" i="2"/>
  <c r="B2302" i="2"/>
  <c r="B71" i="2"/>
  <c r="B209" i="2"/>
  <c r="B2301" i="2"/>
  <c r="B974" i="2"/>
  <c r="B461" i="2"/>
  <c r="B87" i="2"/>
  <c r="B86" i="2"/>
  <c r="B121" i="2"/>
  <c r="B132" i="2"/>
  <c r="B3046" i="2"/>
  <c r="B2894" i="2"/>
  <c r="B2922" i="2"/>
  <c r="B3171" i="2"/>
  <c r="B130" i="2"/>
  <c r="B131" i="2"/>
  <c r="B2007" i="2"/>
  <c r="B2042" i="2"/>
  <c r="B1937" i="2"/>
  <c r="B1938" i="2"/>
  <c r="B840" i="2"/>
  <c r="B1908" i="2"/>
  <c r="B2872" i="2"/>
  <c r="B2833" i="2"/>
  <c r="B2834" i="2"/>
  <c r="B2893" i="2"/>
  <c r="B3217" i="2"/>
  <c r="B898" i="2"/>
  <c r="B818" i="2"/>
  <c r="B806" i="2"/>
  <c r="B2265" i="2"/>
  <c r="B2981" i="2"/>
  <c r="B2982" i="2"/>
  <c r="B2789" i="2"/>
  <c r="B2710" i="2"/>
  <c r="B2263" i="2"/>
  <c r="B2264" i="2"/>
  <c r="B2256" i="2"/>
  <c r="B2259" i="2"/>
  <c r="B3103" i="2"/>
  <c r="B2880" i="2"/>
  <c r="B186" i="2"/>
  <c r="B529" i="2"/>
  <c r="B101" i="2"/>
  <c r="B3102" i="2"/>
  <c r="B1455" i="2"/>
  <c r="B3379" i="2"/>
  <c r="B2269" i="2"/>
  <c r="B3303" i="2"/>
  <c r="B630" i="2"/>
  <c r="B631" i="2"/>
  <c r="B1386" i="2"/>
  <c r="B2249" i="2"/>
  <c r="B3215" i="2"/>
  <c r="B1385" i="2"/>
  <c r="B2455" i="2"/>
  <c r="B2167" i="2"/>
  <c r="B2976" i="2"/>
  <c r="B3155" i="2"/>
  <c r="B343" i="2"/>
  <c r="B1950" i="2"/>
  <c r="B1339" i="2"/>
  <c r="B303" i="2"/>
  <c r="B1284" i="2"/>
  <c r="B1352" i="2"/>
  <c r="B304" i="2"/>
  <c r="B1353" i="2"/>
  <c r="B1198" i="2"/>
  <c r="B342" i="2"/>
  <c r="B1867" i="2"/>
  <c r="B3262" i="2"/>
  <c r="B3517" i="2"/>
  <c r="B2190" i="2"/>
  <c r="B1910" i="2"/>
  <c r="B2413" i="2"/>
  <c r="B2372" i="2"/>
  <c r="B1853" i="2"/>
  <c r="B3116" i="2"/>
  <c r="B3048" i="2"/>
  <c r="B95" i="2"/>
  <c r="B2171" i="2"/>
  <c r="B781" i="2"/>
  <c r="B2467" i="2"/>
  <c r="B2466" i="2"/>
  <c r="B3085" i="2"/>
  <c r="B305" i="2"/>
  <c r="B2361" i="2"/>
  <c r="B2363" i="2"/>
  <c r="B2364" i="2"/>
  <c r="B2362" i="2"/>
  <c r="B2365" i="2"/>
  <c r="B2360" i="2"/>
  <c r="B2359" i="2"/>
  <c r="B2358" i="2"/>
  <c r="B2357" i="2"/>
  <c r="B2356" i="2"/>
  <c r="B2355" i="2"/>
  <c r="B2353" i="2"/>
  <c r="B2352" i="2"/>
  <c r="B2354" i="2"/>
  <c r="B2351" i="2"/>
  <c r="B2350" i="2"/>
  <c r="B1368" i="2"/>
  <c r="B2945" i="2"/>
  <c r="B416" i="2"/>
  <c r="B406" i="2"/>
  <c r="B1160" i="2"/>
  <c r="B2603" i="2"/>
  <c r="B1156" i="2"/>
  <c r="B713" i="2"/>
  <c r="B534" i="2"/>
  <c r="B1524" i="2"/>
  <c r="B1523" i="2"/>
  <c r="B111" i="2"/>
  <c r="B2998" i="2"/>
  <c r="B359" i="2"/>
  <c r="B2639" i="2"/>
  <c r="B3201" i="2"/>
  <c r="B391" i="2"/>
  <c r="B2347" i="2"/>
  <c r="B390" i="2"/>
  <c r="B2196" i="2"/>
  <c r="B2195" i="2"/>
  <c r="B2605" i="2"/>
  <c r="B971" i="2"/>
  <c r="B970" i="2"/>
  <c r="B3036" i="2"/>
  <c r="B2243" i="2"/>
  <c r="B905" i="2"/>
  <c r="B1883" i="2"/>
  <c r="B2255" i="2"/>
  <c r="B2253" i="2"/>
  <c r="B2252" i="2"/>
  <c r="B2242" i="2"/>
  <c r="B1501" i="2"/>
  <c r="B3069" i="2"/>
  <c r="B1945" i="2"/>
  <c r="B1885" i="2"/>
  <c r="B1882" i="2"/>
  <c r="B1884" i="2"/>
  <c r="B3219" i="2"/>
  <c r="B492" i="2"/>
  <c r="B472" i="2"/>
  <c r="B222" i="2"/>
  <c r="B1499" i="2"/>
  <c r="B1498" i="2"/>
  <c r="B1497" i="2"/>
  <c r="B973" i="2"/>
  <c r="B1517" i="2"/>
  <c r="B2227" i="2"/>
  <c r="B1221" i="2"/>
  <c r="B2890" i="2"/>
  <c r="B665" i="2"/>
  <c r="B3213" i="2"/>
  <c r="B2932" i="2"/>
  <c r="B590" i="2"/>
  <c r="B2883" i="2"/>
  <c r="B2882" i="2"/>
  <c r="B1500" i="2"/>
  <c r="B2224" i="2"/>
  <c r="B3209" i="2"/>
  <c r="B471" i="2"/>
  <c r="B1966" i="2"/>
  <c r="B593" i="2"/>
  <c r="B3210" i="2"/>
  <c r="B3208" i="2"/>
  <c r="B592" i="2"/>
  <c r="B3211" i="2"/>
  <c r="B1346" i="2"/>
  <c r="B2068" i="2"/>
  <c r="B447" i="2"/>
  <c r="B2044" i="2"/>
  <c r="B2879" i="2"/>
  <c r="B1869" i="2"/>
  <c r="B2045" i="2"/>
  <c r="B2046" i="2"/>
  <c r="B1902" i="2"/>
  <c r="B2052" i="2"/>
  <c r="B1990" i="2"/>
  <c r="B238" i="2"/>
  <c r="B84" i="2"/>
  <c r="B1505" i="2"/>
  <c r="B624" i="2"/>
  <c r="B623" i="2"/>
  <c r="B3117" i="2"/>
  <c r="B1503" i="2"/>
  <c r="B3099" i="2"/>
  <c r="B3097" i="2"/>
  <c r="B554" i="2"/>
  <c r="B668" i="2"/>
  <c r="B1387" i="2"/>
  <c r="B2371" i="2"/>
  <c r="B1384" i="2"/>
  <c r="B3311" i="2"/>
  <c r="B2229" i="2"/>
  <c r="B3601" i="2"/>
  <c r="B1383" i="2"/>
  <c r="B2414" i="2"/>
  <c r="B2910" i="2"/>
  <c r="B3162" i="2"/>
  <c r="B3181" i="2"/>
  <c r="B434" i="2"/>
  <c r="B427" i="2"/>
  <c r="B3145" i="2"/>
  <c r="B3343" i="2"/>
  <c r="B617" i="2"/>
  <c r="B3426" i="2"/>
  <c r="B3222" i="2"/>
  <c r="B1071" i="2"/>
  <c r="B3366" i="2"/>
  <c r="B2909" i="2"/>
  <c r="B420" i="2"/>
  <c r="B100" i="2"/>
  <c r="B188" i="2"/>
  <c r="B99" i="2"/>
  <c r="B1504" i="2"/>
  <c r="B664" i="2"/>
  <c r="B3349" i="2"/>
  <c r="B1010" i="2"/>
  <c r="B1949" i="2"/>
  <c r="B1888" i="2"/>
  <c r="B1887" i="2"/>
  <c r="B1988" i="2"/>
  <c r="B902" i="2"/>
  <c r="B2822" i="2"/>
  <c r="B322" i="2"/>
  <c r="B462" i="2"/>
  <c r="B3080" i="2"/>
  <c r="B424" i="2"/>
  <c r="B421" i="2"/>
  <c r="B2619" i="2"/>
  <c r="B2469" i="2"/>
  <c r="B3143" i="2"/>
  <c r="B780" i="2"/>
  <c r="B977" i="2"/>
  <c r="B1871" i="2"/>
  <c r="B626" i="2"/>
  <c r="B1818" i="2"/>
  <c r="B3140" i="2"/>
  <c r="B11" i="2"/>
  <c r="B1834" i="2"/>
  <c r="B3008" i="2"/>
  <c r="B3292" i="2"/>
  <c r="B3081" i="2"/>
  <c r="B3053" i="2"/>
  <c r="B3275" i="2"/>
  <c r="B2416" i="2"/>
  <c r="B2366" i="2"/>
  <c r="B2368" i="2"/>
  <c r="B2564" i="2"/>
  <c r="B2560" i="2"/>
  <c r="B2561" i="2"/>
  <c r="B2188" i="2"/>
  <c r="B991" i="2"/>
  <c r="B331" i="2"/>
  <c r="B2400" i="2"/>
  <c r="B330" i="2"/>
  <c r="B993" i="2"/>
  <c r="B646" i="2"/>
  <c r="B1936" i="2"/>
  <c r="B2215" i="2"/>
  <c r="B2193" i="2"/>
  <c r="B2192" i="2"/>
  <c r="B2565" i="2"/>
  <c r="B2563" i="2"/>
  <c r="B1947" i="2"/>
  <c r="B1868" i="2"/>
  <c r="B1870" i="2"/>
  <c r="B1905" i="2"/>
  <c r="B1906" i="2"/>
  <c r="B1942" i="2"/>
  <c r="B2427" i="2"/>
  <c r="B3147" i="2"/>
  <c r="B3141" i="2"/>
  <c r="B2513" i="2"/>
  <c r="B14" i="2"/>
  <c r="B1824" i="2"/>
  <c r="B2562" i="2"/>
  <c r="B2524" i="2"/>
  <c r="B2078" i="2"/>
  <c r="B2077" i="2"/>
  <c r="B640" i="2"/>
  <c r="B106" i="2"/>
  <c r="B105" i="2"/>
  <c r="B1618" i="2"/>
  <c r="B1617" i="2"/>
  <c r="B204" i="2"/>
  <c r="B205" i="2"/>
  <c r="B1764" i="2"/>
  <c r="B2589" i="2"/>
  <c r="B667" i="2"/>
  <c r="B567" i="2"/>
  <c r="B1053" i="2"/>
  <c r="B3302" i="2"/>
  <c r="B1127" i="2"/>
  <c r="B1126" i="2"/>
  <c r="B1837" i="2"/>
  <c r="B2431" i="2"/>
  <c r="B2054" i="2"/>
  <c r="B2053" i="2"/>
  <c r="B1793" i="2"/>
  <c r="B1768" i="2"/>
  <c r="B1767" i="2"/>
  <c r="B3365" i="2"/>
  <c r="B3030" i="2"/>
  <c r="B2907" i="2"/>
  <c r="B2067" i="2"/>
  <c r="B3373" i="2"/>
  <c r="B3159" i="2"/>
  <c r="B2588" i="2"/>
  <c r="B2587" i="2"/>
  <c r="B30" i="2"/>
  <c r="B107" i="2"/>
  <c r="B1031" i="2"/>
  <c r="B1030" i="2"/>
  <c r="B3023" i="2"/>
  <c r="B2853" i="2"/>
  <c r="B954" i="2"/>
  <c r="B3621" i="2"/>
  <c r="B3391" i="2"/>
  <c r="B2920" i="2"/>
  <c r="B917" i="2"/>
  <c r="B3014" i="2"/>
  <c r="B341" i="2"/>
  <c r="B2024" i="2"/>
  <c r="B340" i="2"/>
  <c r="B2025" i="2"/>
  <c r="B338" i="2"/>
  <c r="B2855" i="2"/>
  <c r="B3329" i="2"/>
  <c r="B3055" i="2"/>
  <c r="B2388" i="2"/>
  <c r="B1371" i="2"/>
  <c r="B97" i="2"/>
  <c r="B2180" i="2"/>
  <c r="B2174" i="2"/>
  <c r="B298" i="2"/>
  <c r="B2384" i="2"/>
  <c r="B3296" i="2"/>
  <c r="B3382" i="2"/>
  <c r="B3113" i="2"/>
  <c r="B3257" i="2"/>
  <c r="B3259" i="2"/>
  <c r="B210" i="2"/>
  <c r="B235" i="2"/>
  <c r="B1757" i="2"/>
  <c r="B2402" i="2"/>
  <c r="B10" i="2"/>
  <c r="B60" i="2"/>
  <c r="B65" i="2"/>
  <c r="B1819" i="2"/>
  <c r="B2960" i="2"/>
  <c r="B2961" i="2"/>
  <c r="B2962" i="2"/>
  <c r="B2959" i="2"/>
  <c r="B3034" i="2"/>
  <c r="B3331" i="2"/>
  <c r="B3287" i="2"/>
  <c r="B1349" i="2"/>
  <c r="B2037" i="2"/>
  <c r="B1722" i="2"/>
  <c r="B1720" i="2"/>
  <c r="B648" i="2"/>
  <c r="B1350" i="2"/>
  <c r="B3177" i="2"/>
  <c r="B2430" i="2"/>
  <c r="B2392" i="2"/>
  <c r="B1475" i="2"/>
  <c r="B1458" i="2"/>
  <c r="B773" i="2"/>
  <c r="B1719" i="2"/>
  <c r="B3176" i="2"/>
  <c r="B3345" i="2"/>
  <c r="B1183" i="2"/>
  <c r="B2474" i="2"/>
  <c r="B321" i="2"/>
  <c r="B3198" i="2"/>
  <c r="B968" i="2"/>
  <c r="B1616" i="2"/>
  <c r="B3190" i="2"/>
  <c r="B1619" i="2"/>
  <c r="B3114" i="2"/>
  <c r="B3178" i="2"/>
  <c r="B200" i="2"/>
  <c r="B1763" i="2"/>
  <c r="B3041" i="2"/>
  <c r="B207" i="2"/>
  <c r="B325" i="2"/>
  <c r="B104" i="2"/>
  <c r="B774" i="2"/>
  <c r="B474" i="2"/>
  <c r="B1096" i="2"/>
  <c r="B1095" i="2"/>
  <c r="B1097" i="2"/>
  <c r="B1088" i="2"/>
  <c r="B1899" i="2"/>
  <c r="B2113" i="2"/>
  <c r="B3267" i="2"/>
  <c r="B3424" i="2"/>
  <c r="B2842" i="2"/>
  <c r="B1782" i="2"/>
  <c r="B3161" i="2"/>
  <c r="B2080" i="2"/>
  <c r="B1701" i="2"/>
  <c r="B1703" i="2"/>
  <c r="B1093" i="2"/>
  <c r="B1944" i="2"/>
  <c r="B729" i="2"/>
  <c r="B724" i="2"/>
  <c r="B727" i="2"/>
  <c r="B725" i="2"/>
  <c r="B728" i="2"/>
  <c r="B726" i="2"/>
  <c r="B730" i="2"/>
  <c r="B2153" i="2"/>
  <c r="B1943" i="2"/>
  <c r="B2875" i="2"/>
  <c r="B1863" i="2"/>
  <c r="B1946" i="2"/>
  <c r="B3268" i="2"/>
  <c r="B223" i="2"/>
  <c r="B1896" i="2"/>
  <c r="B2898" i="2"/>
  <c r="B1611" i="2"/>
  <c r="B3325" i="2"/>
  <c r="B681" i="2"/>
  <c r="B603" i="2"/>
  <c r="B584" i="2"/>
  <c r="B1886" i="2"/>
  <c r="B3282" i="2"/>
  <c r="B2222" i="2"/>
  <c r="B418" i="2"/>
  <c r="B2374" i="2"/>
  <c r="B1864" i="2"/>
  <c r="B751" i="2"/>
  <c r="B1706" i="2"/>
  <c r="B282" i="2"/>
  <c r="B707" i="2"/>
  <c r="B684" i="2"/>
  <c r="B706" i="2"/>
  <c r="B683" i="2"/>
  <c r="B625" i="2"/>
  <c r="B1707" i="2"/>
  <c r="B2157" i="2"/>
  <c r="B2380" i="2"/>
  <c r="B2373" i="2"/>
  <c r="B3136" i="2"/>
  <c r="B2886" i="2"/>
  <c r="B1300" i="2"/>
  <c r="B1299" i="2"/>
  <c r="B1298" i="2"/>
  <c r="B2406" i="2"/>
  <c r="B2155" i="2"/>
  <c r="B2943" i="2"/>
  <c r="B867" i="2"/>
  <c r="B716" i="2"/>
  <c r="B2787" i="2"/>
  <c r="B284" i="2"/>
  <c r="B183" i="2"/>
  <c r="B283" i="2"/>
  <c r="B3152" i="2"/>
  <c r="B2369" i="2"/>
  <c r="B2175" i="2"/>
  <c r="B2158" i="2"/>
  <c r="B2391" i="2"/>
  <c r="B1941" i="2"/>
  <c r="B1705" i="2"/>
  <c r="B129" i="2"/>
  <c r="B1581" i="2"/>
  <c r="B906" i="2"/>
  <c r="B1578" i="2"/>
  <c r="B1506" i="2"/>
  <c r="B116" i="2"/>
  <c r="B1576" i="2"/>
  <c r="B1507" i="2"/>
  <c r="B2965" i="2"/>
  <c r="B1830" i="2"/>
  <c r="B723" i="2"/>
  <c r="B3293" i="2"/>
  <c r="B3308" i="2"/>
  <c r="B2470" i="2"/>
  <c r="B3393" i="2"/>
  <c r="B3112" i="2"/>
  <c r="B3337" i="2"/>
  <c r="B3336" i="2"/>
  <c r="B3318" i="2"/>
  <c r="B1774" i="2"/>
  <c r="B2917" i="2"/>
  <c r="B3335" i="2"/>
  <c r="B1821" i="2"/>
  <c r="B1831" i="2"/>
  <c r="B3042" i="2"/>
  <c r="B679" i="2"/>
  <c r="B678" i="2"/>
  <c r="B1390" i="2"/>
  <c r="B1365" i="2"/>
  <c r="B1364" i="2"/>
  <c r="B3115" i="2"/>
  <c r="B3299" i="2"/>
  <c r="B3324" i="2"/>
  <c r="B80" i="2"/>
  <c r="B3310" i="2"/>
  <c r="B3374" i="2"/>
  <c r="B3006" i="2"/>
  <c r="B1366" i="2"/>
  <c r="B292" i="2"/>
  <c r="B3068" i="2"/>
  <c r="B1963" i="2"/>
  <c r="B2673" i="2"/>
  <c r="B3294" i="2"/>
  <c r="B3015" i="2"/>
  <c r="B3339" i="2"/>
  <c r="B2001" i="2"/>
  <c r="B187" i="2"/>
  <c r="B3334" i="2"/>
  <c r="B3291" i="2"/>
  <c r="B3002" i="2"/>
  <c r="B1762" i="2"/>
  <c r="B2266" i="2"/>
  <c r="B2213" i="2"/>
  <c r="B2212" i="2"/>
  <c r="B2268" i="2"/>
  <c r="B2050" i="2"/>
  <c r="B870" i="2"/>
  <c r="B868" i="2"/>
  <c r="B3043" i="2"/>
  <c r="B373" i="2"/>
  <c r="B374" i="2"/>
  <c r="B377" i="2"/>
  <c r="B3602" i="2"/>
  <c r="B2868" i="2"/>
  <c r="B2887" i="2"/>
  <c r="B1873" i="2"/>
  <c r="B260" i="2"/>
  <c r="B259" i="2"/>
  <c r="B258" i="2"/>
  <c r="B257" i="2"/>
  <c r="B192" i="2"/>
  <c r="B1261" i="2"/>
  <c r="B1238" i="2"/>
  <c r="B3326" i="2"/>
  <c r="B568" i="2"/>
  <c r="B571" i="2"/>
  <c r="B569" i="2"/>
  <c r="B570" i="2"/>
  <c r="B3191" i="2"/>
  <c r="B3037" i="2"/>
  <c r="B67" i="2"/>
  <c r="B68" i="2"/>
  <c r="B3026" i="2"/>
  <c r="B69" i="2"/>
  <c r="B103" i="2"/>
  <c r="B1376" i="2"/>
  <c r="B757" i="2"/>
  <c r="B1804" i="2"/>
  <c r="B1802" i="2"/>
  <c r="B350" i="2"/>
  <c r="B1378" i="2"/>
  <c r="B586" i="2"/>
  <c r="B1987" i="2"/>
  <c r="B1789" i="2"/>
  <c r="B1955" i="2"/>
  <c r="B3225" i="2"/>
  <c r="B3377" i="2"/>
  <c r="B351" i="2"/>
  <c r="B352" i="2"/>
  <c r="B558" i="2"/>
  <c r="B559" i="2"/>
  <c r="B3040" i="2"/>
  <c r="B1013" i="2"/>
  <c r="B3192" i="2"/>
  <c r="B3362" i="2"/>
  <c r="B3371" i="2"/>
  <c r="B3223" i="2"/>
  <c r="B1046" i="2"/>
  <c r="B1132" i="2"/>
  <c r="B1133" i="2"/>
  <c r="B1388" i="2"/>
  <c r="B1274" i="2"/>
  <c r="B1389" i="2"/>
  <c r="B1275" i="2"/>
  <c r="B1375" i="2"/>
  <c r="B754" i="2"/>
  <c r="B1801" i="2"/>
  <c r="B1377" i="2"/>
  <c r="B280" i="2"/>
  <c r="B3279" i="2"/>
  <c r="B3342" i="2"/>
  <c r="B3098" i="2"/>
  <c r="B483" i="2"/>
  <c r="B2483" i="2"/>
  <c r="B551" i="2"/>
  <c r="B3027" i="2"/>
  <c r="B422" i="2"/>
  <c r="B459" i="2"/>
  <c r="B423" i="2"/>
  <c r="B743" i="2"/>
  <c r="B3066" i="2"/>
  <c r="B1182" i="2"/>
  <c r="B566" i="2"/>
  <c r="B1359" i="2"/>
  <c r="B3150" i="2"/>
  <c r="B289" i="2"/>
  <c r="B3421" i="2"/>
  <c r="B3044" i="2"/>
  <c r="B1231" i="2"/>
  <c r="B2062" i="2"/>
  <c r="B3333" i="2"/>
  <c r="B3212" i="2"/>
  <c r="B3270" i="2"/>
  <c r="B442" i="2"/>
  <c r="B3218" i="2"/>
  <c r="B1254" i="2"/>
  <c r="B433" i="2"/>
  <c r="B2712" i="2"/>
  <c r="B3071" i="2"/>
  <c r="B3214" i="2"/>
  <c r="B955" i="2"/>
  <c r="B2232" i="2"/>
  <c r="B2908" i="2"/>
  <c r="B164" i="2"/>
  <c r="B2237" i="2"/>
  <c r="B3290" i="2"/>
  <c r="B279" i="2"/>
  <c r="B869" i="2"/>
  <c r="B3193" i="2"/>
  <c r="B3289" i="2"/>
  <c r="B526" i="2"/>
  <c r="B3332" i="2"/>
  <c r="B3045" i="2"/>
  <c r="B1329" i="2"/>
  <c r="B3363" i="2"/>
  <c r="B799" i="2"/>
  <c r="B620" i="2"/>
  <c r="B3054" i="2"/>
  <c r="B3372" i="2"/>
  <c r="B3067" i="2"/>
  <c r="B3364" i="2"/>
  <c r="B460" i="2"/>
  <c r="B3375" i="2"/>
  <c r="B3013" i="2"/>
  <c r="B172" i="2"/>
  <c r="B2579" i="2"/>
  <c r="B2571" i="2"/>
  <c r="B2570" i="2"/>
  <c r="B2578" i="2"/>
  <c r="B2569" i="2"/>
  <c r="B2568" i="2"/>
  <c r="B2577" i="2"/>
  <c r="B2576" i="2"/>
  <c r="B2575" i="2"/>
  <c r="B2574" i="2"/>
  <c r="B2572" i="2"/>
  <c r="B2573" i="2"/>
  <c r="B2567" i="2"/>
  <c r="B2566" i="2"/>
  <c r="B3529" i="2"/>
  <c r="B3523" i="2"/>
  <c r="B3522" i="2"/>
  <c r="B389" i="2"/>
  <c r="B3527" i="2"/>
  <c r="B2784" i="2"/>
  <c r="B2707" i="2"/>
  <c r="B2783" i="2"/>
  <c r="B1948" i="2"/>
  <c r="B3524" i="2"/>
  <c r="B2790" i="2"/>
  <c r="B2788" i="2"/>
  <c r="B2793" i="2"/>
  <c r="B157" i="2"/>
  <c r="B810" i="2"/>
  <c r="B156" i="2"/>
  <c r="B766" i="2"/>
  <c r="B81" i="2"/>
  <c r="B3513" i="2"/>
  <c r="B2797" i="2"/>
  <c r="B3520" i="2"/>
  <c r="B2796" i="2"/>
  <c r="B2795" i="2"/>
  <c r="B3511" i="2"/>
  <c r="B3525" i="2"/>
  <c r="B3528" i="2"/>
  <c r="B3521" i="2"/>
  <c r="B2315" i="2"/>
  <c r="B2314" i="2"/>
  <c r="B2311" i="2"/>
  <c r="B2313" i="2"/>
  <c r="B2310" i="2"/>
  <c r="B3519" i="2"/>
  <c r="B2308" i="2"/>
  <c r="B2309" i="2"/>
  <c r="B3514" i="2"/>
  <c r="B1448" i="2"/>
  <c r="B2033" i="2"/>
  <c r="B1155" i="2"/>
  <c r="B2312" i="2"/>
  <c r="B3515" i="2"/>
  <c r="B3516" i="2"/>
  <c r="B3518" i="2"/>
  <c r="B3512" i="2"/>
  <c r="B2336" i="2"/>
  <c r="B2337" i="2"/>
  <c r="B2335" i="2"/>
  <c r="B2334" i="2"/>
  <c r="B2322" i="2"/>
  <c r="B693" i="2"/>
  <c r="B2325" i="2"/>
  <c r="B3258" i="2"/>
  <c r="B2058" i="2"/>
  <c r="B2057" i="2"/>
  <c r="B426" i="2"/>
  <c r="B2319" i="2"/>
  <c r="B2318" i="2"/>
  <c r="B2321" i="2"/>
  <c r="B2320" i="2"/>
  <c r="B2317" i="2"/>
  <c r="B3510" i="2"/>
  <c r="B2316" i="2"/>
  <c r="B3509" i="2"/>
  <c r="B656" i="2"/>
  <c r="B386" i="2"/>
  <c r="B969" i="2"/>
  <c r="B414" i="2"/>
  <c r="B2027" i="2"/>
  <c r="B496" i="2"/>
  <c r="B380" i="2"/>
  <c r="B1652" i="2"/>
  <c r="B2782" i="2"/>
  <c r="B2781" i="2"/>
  <c r="B2780" i="2"/>
  <c r="B2706" i="2"/>
  <c r="B2330" i="2"/>
  <c r="B2329" i="2"/>
  <c r="B2323" i="2"/>
  <c r="B2324" i="2"/>
  <c r="B2327" i="2"/>
  <c r="B2328" i="2"/>
  <c r="B2326" i="2"/>
  <c r="B2341" i="2"/>
  <c r="B2342" i="2"/>
  <c r="B2338" i="2"/>
  <c r="B2340" i="2"/>
  <c r="B2339" i="2"/>
  <c r="B2345" i="2"/>
  <c r="B2344" i="2"/>
  <c r="B2343" i="2"/>
  <c r="B2333" i="2"/>
  <c r="B2332" i="2"/>
  <c r="B2331" i="2"/>
  <c r="B1954" i="2"/>
  <c r="B245" i="2"/>
  <c r="B353" i="2"/>
  <c r="B1624" i="2"/>
  <c r="B1623" i="2"/>
  <c r="B33" i="2"/>
  <c r="B1460" i="2"/>
  <c r="B3612" i="2"/>
  <c r="B3611" i="2"/>
  <c r="B3610" i="2"/>
  <c r="B682" i="2"/>
  <c r="B2036" i="2"/>
  <c r="B2800" i="2"/>
  <c r="B1803" i="2"/>
  <c r="B1800" i="2"/>
  <c r="B758" i="2"/>
  <c r="B32" i="2"/>
  <c r="B2456" i="2"/>
  <c r="B141" i="2"/>
  <c r="B138" i="2"/>
  <c r="B201" i="2"/>
  <c r="B167" i="2"/>
  <c r="B653" i="2"/>
  <c r="B296" i="2"/>
  <c r="B2472" i="2"/>
  <c r="B934" i="2"/>
  <c r="B1305" i="2"/>
  <c r="B1484" i="2"/>
  <c r="B1012" i="2"/>
  <c r="B2791" i="2"/>
  <c r="B2799" i="2"/>
  <c r="B2701" i="2"/>
  <c r="B2744" i="2"/>
  <c r="B2138" i="2"/>
  <c r="B2142" i="2"/>
  <c r="B2278" i="2"/>
  <c r="B2700" i="2"/>
  <c r="B333" i="2"/>
  <c r="B88" i="2"/>
  <c r="B813" i="2"/>
  <c r="B1003" i="2"/>
  <c r="B809" i="2"/>
  <c r="B2815" i="2"/>
  <c r="B239" i="2"/>
  <c r="B244" i="2"/>
  <c r="B2817" i="2"/>
  <c r="B2714" i="2"/>
  <c r="B573" i="2"/>
  <c r="B2954" i="2"/>
  <c r="B516" i="2"/>
  <c r="B2792" i="2"/>
  <c r="B1325" i="2"/>
  <c r="B1825" i="2"/>
  <c r="B512" i="2"/>
  <c r="B928" i="2"/>
  <c r="B929" i="2"/>
  <c r="B311" i="2"/>
  <c r="B875" i="2"/>
  <c r="B1799" i="2"/>
  <c r="B2798" i="2"/>
  <c r="B354" i="2"/>
  <c r="B2279" i="2"/>
  <c r="B522" i="2"/>
  <c r="B533" i="2"/>
  <c r="B2983" i="2"/>
  <c r="B1991" i="2"/>
  <c r="B220" i="2"/>
  <c r="B1704" i="2"/>
  <c r="B154" i="2"/>
  <c r="B1973" i="2"/>
  <c r="B2073" i="2"/>
  <c r="B234" i="2"/>
  <c r="B276" i="2"/>
  <c r="B1645" i="2"/>
  <c r="B324" i="2"/>
  <c r="B1673" i="2"/>
  <c r="B1672" i="2"/>
  <c r="B320" i="2"/>
  <c r="B1671" i="2"/>
  <c r="B1646" i="2"/>
  <c r="B2006" i="2"/>
  <c r="B302" i="2"/>
  <c r="B1648" i="2"/>
  <c r="I3713" i="1"/>
  <c r="I3709" i="1"/>
  <c r="I3706" i="1"/>
  <c r="I3688" i="1"/>
  <c r="I3684" i="1"/>
  <c r="I3681" i="1"/>
  <c r="I3662" i="1"/>
  <c r="I3658" i="1"/>
  <c r="I3655" i="1"/>
  <c r="I3637" i="1"/>
  <c r="I3633" i="1"/>
  <c r="I3630" i="1"/>
  <c r="I3611" i="1"/>
  <c r="I3607" i="1"/>
  <c r="I3590" i="1"/>
  <c r="I3586" i="1"/>
  <c r="I3583" i="1"/>
  <c r="I3564" i="1"/>
  <c r="I3560" i="1"/>
  <c r="I3557" i="1"/>
  <c r="I3539" i="1"/>
  <c r="I3535" i="1"/>
  <c r="I3532" i="1"/>
  <c r="I3513" i="1"/>
  <c r="I3509" i="1"/>
  <c r="I3506" i="1"/>
  <c r="I3488" i="1"/>
  <c r="I3484" i="1"/>
  <c r="I3481" i="1"/>
  <c r="I3462" i="1"/>
  <c r="I3458" i="1"/>
  <c r="I3455" i="1"/>
  <c r="I3437" i="1"/>
  <c r="I3433" i="1"/>
  <c r="I3430" i="1"/>
  <c r="I3411" i="1"/>
  <c r="I3407" i="1"/>
  <c r="I3404" i="1"/>
  <c r="I3386" i="1"/>
  <c r="I3382" i="1"/>
  <c r="I3379" i="1"/>
  <c r="I3360" i="1"/>
  <c r="I3356" i="1"/>
  <c r="I3353" i="1"/>
  <c r="I3335" i="1"/>
  <c r="I3331" i="1"/>
  <c r="I3328" i="1"/>
  <c r="I3309" i="1"/>
  <c r="I3305" i="1"/>
  <c r="I3302" i="1"/>
  <c r="I3284" i="1"/>
  <c r="I3280" i="1"/>
  <c r="I3277" i="1"/>
  <c r="I3258" i="1"/>
  <c r="I3254" i="1"/>
  <c r="I3251" i="1"/>
  <c r="I3233" i="1"/>
  <c r="I3229" i="1"/>
  <c r="I3226" i="1"/>
  <c r="I3207" i="1"/>
  <c r="I3203" i="1"/>
  <c r="I3200" i="1"/>
  <c r="I3182" i="1"/>
  <c r="I3178" i="1"/>
  <c r="I3175" i="1"/>
  <c r="I3156" i="1"/>
  <c r="I3152" i="1"/>
  <c r="I3149" i="1"/>
  <c r="I3131" i="1"/>
  <c r="I3127" i="1"/>
  <c r="I3124" i="1"/>
  <c r="I3105" i="1"/>
  <c r="I3101" i="1"/>
  <c r="I3098" i="1"/>
  <c r="I3080" i="1"/>
  <c r="I3076" i="1"/>
  <c r="I3073" i="1"/>
  <c r="I3054" i="1"/>
  <c r="I3050" i="1"/>
  <c r="I3047" i="1"/>
  <c r="I3029" i="1"/>
  <c r="I3025" i="1"/>
  <c r="I3022" i="1"/>
  <c r="I3003" i="1"/>
  <c r="I2999" i="1"/>
  <c r="I2996" i="1"/>
  <c r="I2978" i="1"/>
  <c r="I2974" i="1"/>
  <c r="I2971" i="1"/>
  <c r="I2952" i="1"/>
  <c r="I2948" i="1"/>
  <c r="I2945" i="1"/>
  <c r="I2927" i="1"/>
  <c r="I2923" i="1"/>
  <c r="I2920" i="1"/>
  <c r="I2901" i="1"/>
  <c r="I2897" i="1"/>
  <c r="I2894" i="1"/>
  <c r="I2876" i="1"/>
  <c r="I2872" i="1"/>
  <c r="I2869" i="1"/>
  <c r="I2850" i="1"/>
  <c r="I2846" i="1"/>
  <c r="I2843" i="1"/>
  <c r="I2825" i="1"/>
  <c r="I2821" i="1"/>
  <c r="I2818" i="1"/>
  <c r="I2799" i="1"/>
  <c r="I2795" i="1"/>
  <c r="I2792" i="1"/>
  <c r="I2784" i="1"/>
  <c r="I2780" i="1"/>
  <c r="I2777" i="1"/>
  <c r="I2759" i="1"/>
  <c r="I2755" i="1"/>
  <c r="I2752" i="1"/>
  <c r="I2733" i="1"/>
  <c r="I2729" i="1"/>
  <c r="I2726" i="1"/>
  <c r="I2708" i="1"/>
  <c r="I2704" i="1"/>
  <c r="I2701" i="1"/>
  <c r="I2682" i="1"/>
  <c r="I2678" i="1"/>
  <c r="I2661" i="1"/>
  <c r="I2657" i="1"/>
  <c r="I2654" i="1"/>
  <c r="I2635" i="1"/>
  <c r="I2631" i="1"/>
  <c r="I2628" i="1"/>
  <c r="I2610" i="1"/>
  <c r="I2606" i="1"/>
  <c r="I2603" i="1"/>
  <c r="I2584" i="1"/>
  <c r="I2580" i="1"/>
  <c r="I2577" i="1"/>
  <c r="I2559" i="1"/>
  <c r="I2555" i="1"/>
  <c r="I2552" i="1"/>
  <c r="I2533" i="1"/>
  <c r="I2529" i="1"/>
  <c r="I2526" i="1"/>
  <c r="I2508" i="1"/>
  <c r="I2504" i="1"/>
  <c r="I2501" i="1"/>
  <c r="I2482" i="1"/>
  <c r="I2478" i="1"/>
  <c r="I2475" i="1"/>
  <c r="I2457" i="1"/>
  <c r="I2453" i="1"/>
  <c r="I2450" i="1"/>
  <c r="I2431" i="1"/>
  <c r="I2427" i="1"/>
  <c r="I2424" i="1"/>
  <c r="I2406" i="1"/>
  <c r="I2402" i="1"/>
  <c r="I2399" i="1"/>
  <c r="I2380" i="1"/>
  <c r="I2376" i="1"/>
  <c r="I2373" i="1"/>
  <c r="I2355" i="1"/>
  <c r="I2351" i="1"/>
  <c r="I2348" i="1"/>
  <c r="I2329" i="1"/>
  <c r="I2325" i="1"/>
  <c r="I2322" i="1"/>
  <c r="I2304" i="1"/>
  <c r="I2300" i="1"/>
  <c r="I2297" i="1"/>
  <c r="I2278" i="1"/>
  <c r="I2274" i="1"/>
  <c r="I2271" i="1"/>
  <c r="I2253" i="1"/>
  <c r="I2249" i="1"/>
  <c r="I2246" i="1"/>
  <c r="I2227" i="1"/>
  <c r="I2223" i="1"/>
  <c r="I2220" i="1"/>
  <c r="I2202" i="1"/>
  <c r="I2198" i="1"/>
  <c r="I2195" i="1"/>
  <c r="I2176" i="1"/>
  <c r="I2172" i="1"/>
  <c r="I2169" i="1"/>
  <c r="I2151" i="1"/>
  <c r="I2147" i="1"/>
  <c r="I2144" i="1"/>
  <c r="I2125" i="1"/>
  <c r="I2121" i="1"/>
  <c r="I2118" i="1"/>
  <c r="I2100" i="1"/>
  <c r="I2096" i="1"/>
  <c r="I2093" i="1"/>
  <c r="I2074" i="1"/>
  <c r="I2070" i="1"/>
  <c r="I2067" i="1"/>
  <c r="I2049" i="1"/>
  <c r="I2045" i="1"/>
  <c r="I2042" i="1"/>
  <c r="I2023" i="1"/>
  <c r="I2019" i="1"/>
  <c r="I2016" i="1"/>
  <c r="I1998" i="1"/>
  <c r="I1994" i="1"/>
  <c r="I1991" i="1"/>
  <c r="I1972" i="1"/>
  <c r="I1968" i="1"/>
  <c r="I1965" i="1"/>
  <c r="I1947" i="1"/>
  <c r="I1943" i="1"/>
  <c r="I1940" i="1"/>
  <c r="I1921" i="1"/>
  <c r="I1917" i="1"/>
  <c r="I1914" i="1"/>
  <c r="I1896" i="1"/>
  <c r="I1892" i="1"/>
  <c r="I1889" i="1"/>
  <c r="I1870" i="1"/>
  <c r="I1866" i="1"/>
  <c r="I1863" i="1"/>
  <c r="I1855" i="1"/>
  <c r="I1851" i="1"/>
  <c r="I1848" i="1"/>
  <c r="I1830" i="1"/>
  <c r="I1826" i="1"/>
  <c r="I1823" i="1"/>
  <c r="I1804" i="1"/>
  <c r="I1800" i="1"/>
  <c r="I1797" i="1"/>
  <c r="I1779" i="1"/>
  <c r="I1775" i="1"/>
  <c r="I1772" i="1"/>
  <c r="I1753" i="1"/>
  <c r="I1749" i="1"/>
  <c r="I1732" i="1"/>
  <c r="I1728" i="1"/>
  <c r="I1725" i="1"/>
  <c r="I1706" i="1"/>
  <c r="I1702" i="1"/>
  <c r="I1699" i="1"/>
  <c r="I1681" i="1"/>
  <c r="I1677" i="1"/>
  <c r="I1674" i="1"/>
  <c r="I1655" i="1"/>
  <c r="I1651" i="1"/>
  <c r="I1648" i="1"/>
  <c r="I1630" i="1"/>
  <c r="I1626" i="1"/>
  <c r="I1623" i="1"/>
  <c r="I1604" i="1"/>
  <c r="I1600" i="1"/>
  <c r="I1597" i="1"/>
  <c r="I1579" i="1"/>
  <c r="I1575" i="1"/>
  <c r="I1572" i="1"/>
  <c r="I1553" i="1"/>
  <c r="I1549" i="1"/>
  <c r="I1546" i="1"/>
  <c r="I1528" i="1"/>
  <c r="I1524" i="1"/>
  <c r="I1521" i="1"/>
  <c r="I1502" i="1"/>
  <c r="I1498" i="1"/>
  <c r="I1495" i="1"/>
  <c r="I1477" i="1"/>
  <c r="I1473" i="1"/>
  <c r="I1470" i="1"/>
  <c r="I1451" i="1"/>
  <c r="I1447" i="1"/>
  <c r="I1444" i="1"/>
  <c r="I1426" i="1"/>
  <c r="I1422" i="1"/>
  <c r="I1419" i="1"/>
  <c r="I1400" i="1"/>
  <c r="I1396" i="1"/>
  <c r="I1393" i="1"/>
  <c r="I1375" i="1"/>
  <c r="I1371" i="1"/>
  <c r="I1368" i="1"/>
  <c r="I1349" i="1"/>
  <c r="I1345" i="1"/>
  <c r="I1342" i="1"/>
  <c r="I1324" i="1"/>
  <c r="I1320" i="1"/>
  <c r="I1317" i="1"/>
  <c r="I1298" i="1"/>
  <c r="I1294" i="1"/>
  <c r="I1291" i="1"/>
  <c r="I1273" i="1"/>
  <c r="I1269" i="1"/>
  <c r="I1266" i="1"/>
  <c r="I1247" i="1"/>
  <c r="I1243" i="1"/>
  <c r="I1240" i="1"/>
  <c r="I1222" i="1"/>
  <c r="I1218" i="1"/>
  <c r="I1215" i="1"/>
  <c r="I1196" i="1"/>
  <c r="I1192" i="1"/>
  <c r="I1189" i="1"/>
  <c r="I1171" i="1"/>
  <c r="I1167" i="1"/>
  <c r="I1164" i="1"/>
  <c r="I1145" i="1"/>
  <c r="I1141" i="1"/>
  <c r="I1138" i="1"/>
  <c r="I1120" i="1"/>
  <c r="I1116" i="1"/>
  <c r="I1113" i="1"/>
  <c r="I1094" i="1"/>
  <c r="I1090" i="1"/>
  <c r="I1087" i="1"/>
  <c r="I1069" i="1"/>
  <c r="I1065" i="1"/>
  <c r="I1062" i="1"/>
  <c r="I1043" i="1"/>
  <c r="I1039" i="1"/>
  <c r="I1036" i="1"/>
  <c r="I1018" i="1"/>
  <c r="I1014" i="1"/>
  <c r="I1011" i="1"/>
  <c r="I992" i="1"/>
  <c r="I988" i="1"/>
  <c r="I985" i="1"/>
  <c r="I967" i="1"/>
  <c r="I963" i="1"/>
  <c r="I960" i="1"/>
  <c r="I941" i="1"/>
  <c r="I937" i="1"/>
  <c r="I934" i="1"/>
  <c r="I926" i="1"/>
  <c r="I922" i="1"/>
  <c r="I919" i="1"/>
  <c r="I901" i="1"/>
  <c r="I897" i="1"/>
  <c r="I894" i="1"/>
  <c r="I875" i="1"/>
  <c r="I871" i="1"/>
  <c r="I868" i="1"/>
  <c r="I850" i="1"/>
  <c r="I846" i="1"/>
  <c r="I843" i="1"/>
  <c r="I824" i="1"/>
  <c r="I820" i="1"/>
  <c r="I803" i="1"/>
  <c r="I799" i="1"/>
  <c r="I796" i="1"/>
  <c r="I777" i="1"/>
  <c r="I773" i="1"/>
  <c r="I770" i="1"/>
  <c r="I752" i="1"/>
  <c r="I748" i="1"/>
  <c r="I745" i="1"/>
  <c r="I726" i="1"/>
  <c r="I722" i="1"/>
  <c r="I719" i="1"/>
  <c r="I701" i="1"/>
  <c r="I697" i="1"/>
  <c r="I694" i="1"/>
  <c r="I675" i="1"/>
  <c r="I671" i="1"/>
  <c r="I668" i="1"/>
  <c r="I650" i="1"/>
  <c r="I646" i="1"/>
  <c r="I643" i="1"/>
  <c r="I624" i="1"/>
  <c r="I620" i="1"/>
  <c r="I617" i="1"/>
  <c r="I599" i="1"/>
  <c r="I595" i="1"/>
  <c r="I592" i="1"/>
  <c r="I573" i="1"/>
  <c r="I569" i="1"/>
  <c r="I566" i="1"/>
  <c r="I548" i="1"/>
  <c r="I544" i="1"/>
  <c r="I541" i="1"/>
  <c r="I522" i="1"/>
  <c r="I518" i="1"/>
  <c r="I515" i="1"/>
  <c r="I497" i="1"/>
  <c r="I493" i="1"/>
  <c r="I490" i="1"/>
  <c r="I471" i="1"/>
  <c r="I467" i="1"/>
  <c r="I464" i="1"/>
  <c r="I446" i="1"/>
  <c r="I442" i="1"/>
  <c r="I439" i="1"/>
  <c r="I420" i="1"/>
  <c r="I416" i="1"/>
  <c r="I413" i="1"/>
  <c r="I395" i="1"/>
  <c r="I391" i="1"/>
  <c r="I388" i="1"/>
  <c r="I369" i="1"/>
  <c r="I365" i="1"/>
  <c r="I362" i="1"/>
  <c r="I344" i="1"/>
  <c r="I340" i="1"/>
  <c r="I337" i="1"/>
  <c r="I318" i="1"/>
  <c r="I314" i="1"/>
  <c r="I311" i="1"/>
  <c r="I293" i="1"/>
  <c r="I289" i="1"/>
  <c r="I286" i="1"/>
  <c r="I267" i="1"/>
  <c r="I263" i="1"/>
  <c r="I260" i="1"/>
  <c r="I242" i="1"/>
  <c r="I238" i="1"/>
  <c r="I235" i="1"/>
  <c r="I216" i="1"/>
  <c r="I212" i="1"/>
  <c r="I209" i="1"/>
  <c r="I191" i="1"/>
  <c r="I187" i="1"/>
  <c r="I184" i="1"/>
  <c r="I165" i="1"/>
  <c r="I161" i="1"/>
  <c r="I158" i="1"/>
  <c r="I140" i="1"/>
  <c r="I136" i="1"/>
  <c r="I133" i="1"/>
  <c r="I114" i="1"/>
  <c r="I110" i="1"/>
  <c r="I107" i="1"/>
  <c r="I89" i="1"/>
  <c r="I85" i="1"/>
  <c r="I82" i="1"/>
  <c r="I63" i="1"/>
  <c r="I59" i="1"/>
  <c r="I56" i="1"/>
  <c r="I38" i="1"/>
  <c r="I34" i="1"/>
  <c r="I31" i="1"/>
  <c r="I12" i="1"/>
  <c r="I8" i="1"/>
  <c r="I5" i="1"/>
  <c r="I3761" i="1"/>
  <c r="I3750" i="1"/>
  <c r="I3747" i="1"/>
  <c r="I3728" i="1"/>
  <c r="I3724" i="1"/>
  <c r="I3721" i="1"/>
</calcChain>
</file>

<file path=xl/sharedStrings.xml><?xml version="1.0" encoding="utf-8"?>
<sst xmlns="http://schemas.openxmlformats.org/spreadsheetml/2006/main" count="8320" uniqueCount="2281">
  <si>
    <t>Redni broj</t>
  </si>
  <si>
    <t>Tekstualni opis stavke</t>
  </si>
  <si>
    <t>Jedinica mjere</t>
  </si>
  <si>
    <t>Količina</t>
  </si>
  <si>
    <t>A</t>
  </si>
  <si>
    <t>B</t>
  </si>
  <si>
    <t>C</t>
  </si>
  <si>
    <t>D</t>
  </si>
  <si>
    <t>E</t>
  </si>
  <si>
    <t>F</t>
  </si>
  <si>
    <t>Ukupno bez PDV</t>
  </si>
  <si>
    <t>kom</t>
  </si>
  <si>
    <t>Kataloški broj</t>
  </si>
  <si>
    <t>09300181-0</t>
  </si>
  <si>
    <t>09530205-0</t>
  </si>
  <si>
    <t>09300169-0</t>
  </si>
  <si>
    <t>09302481-0</t>
  </si>
  <si>
    <t>09302482-0</t>
  </si>
  <si>
    <t>09302483-0</t>
  </si>
  <si>
    <t>09300168-0</t>
  </si>
  <si>
    <t>09531366-0</t>
  </si>
  <si>
    <t>09526368-0</t>
  </si>
  <si>
    <t>09310232-0</t>
  </si>
  <si>
    <t>09526607-0</t>
  </si>
  <si>
    <t>87-70</t>
  </si>
  <si>
    <t>09552163-0</t>
  </si>
  <si>
    <t>17954592-0</t>
  </si>
  <si>
    <t>09504472-0</t>
  </si>
  <si>
    <t>09506193-0</t>
  </si>
  <si>
    <t>17954176-0</t>
  </si>
  <si>
    <t>710-181</t>
  </si>
  <si>
    <t>15064043-0</t>
  </si>
  <si>
    <t>220-311</t>
  </si>
  <si>
    <t>220-263</t>
  </si>
  <si>
    <t>15059248-1</t>
  </si>
  <si>
    <t>09552133-0</t>
  </si>
  <si>
    <t>09534226-0</t>
  </si>
  <si>
    <t>09534124-0</t>
  </si>
  <si>
    <t>17951033-0</t>
  </si>
  <si>
    <t>15059364-0</t>
  </si>
  <si>
    <t>17954614-0</t>
  </si>
  <si>
    <t>17954015-0</t>
  </si>
  <si>
    <t>09579202-0</t>
  </si>
  <si>
    <t>09578002-0</t>
  </si>
  <si>
    <t>09504642-0</t>
  </si>
  <si>
    <t>09504771-1</t>
  </si>
  <si>
    <t>19100198-0</t>
  </si>
  <si>
    <t>09530966-0</t>
  </si>
  <si>
    <t>PM2SB-PS</t>
  </si>
  <si>
    <t>PM2SB-PSSI</t>
  </si>
  <si>
    <t>PM2SB-S3</t>
  </si>
  <si>
    <t>09201180-0</t>
  </si>
  <si>
    <t>09201182-0</t>
  </si>
  <si>
    <t>09521011-0</t>
  </si>
  <si>
    <t>09567317-0</t>
  </si>
  <si>
    <t>09567318-0</t>
  </si>
  <si>
    <t>09567319-0</t>
  </si>
  <si>
    <t>09567329-0</t>
  </si>
  <si>
    <t>09567330-0</t>
  </si>
  <si>
    <t>09567331-0</t>
  </si>
  <si>
    <t>09567325-0</t>
  </si>
  <si>
    <t>09567326-0</t>
  </si>
  <si>
    <t>09567324-0</t>
  </si>
  <si>
    <t>09567328-0</t>
  </si>
  <si>
    <t>09567327-0</t>
  </si>
  <si>
    <t>09567312-0</t>
  </si>
  <si>
    <t>09567314-0</t>
  </si>
  <si>
    <t>09567313-0</t>
  </si>
  <si>
    <t>09567310-0</t>
  </si>
  <si>
    <t>09567309-0</t>
  </si>
  <si>
    <t>09567315-0</t>
  </si>
  <si>
    <t>09567316-0</t>
  </si>
  <si>
    <t>15061079-0</t>
  </si>
  <si>
    <t>17953159-0</t>
  </si>
  <si>
    <t>17953160-0</t>
  </si>
  <si>
    <t>17953353-0</t>
  </si>
  <si>
    <t>09300525-0</t>
  </si>
  <si>
    <t>09530487-0</t>
  </si>
  <si>
    <t>E01118718</t>
  </si>
  <si>
    <t>09567300-0</t>
  </si>
  <si>
    <t>E01174416</t>
  </si>
  <si>
    <t>09567303-0</t>
  </si>
  <si>
    <t>09567306-0</t>
  </si>
  <si>
    <t>09567307-0</t>
  </si>
  <si>
    <t>09567304-0</t>
  </si>
  <si>
    <t>09567305-0</t>
  </si>
  <si>
    <t>09531153-0</t>
  </si>
  <si>
    <t>09531154-0</t>
  </si>
  <si>
    <t>92655105-0</t>
  </si>
  <si>
    <t>09567311-0</t>
  </si>
  <si>
    <t>09567308-0</t>
  </si>
  <si>
    <t>09567320-0</t>
  </si>
  <si>
    <t>09567321-0</t>
  </si>
  <si>
    <t>09567323-0</t>
  </si>
  <si>
    <t>09567322-0</t>
  </si>
  <si>
    <t>E15202107</t>
  </si>
  <si>
    <t>E22032307</t>
  </si>
  <si>
    <t>E22032278</t>
  </si>
  <si>
    <t>E20602214</t>
  </si>
  <si>
    <t>09567233-0</t>
  </si>
  <si>
    <t>09530521-0</t>
  </si>
  <si>
    <t>E20602155</t>
  </si>
  <si>
    <t>09567214-0</t>
  </si>
  <si>
    <t>09567213-0</t>
  </si>
  <si>
    <t>E30602006</t>
  </si>
  <si>
    <t>09567215-0</t>
  </si>
  <si>
    <t>09567234-0</t>
  </si>
  <si>
    <t>09567216-0</t>
  </si>
  <si>
    <t>09567235-0</t>
  </si>
  <si>
    <t>09567236-0</t>
  </si>
  <si>
    <t>E35062013</t>
  </si>
  <si>
    <t>E46320267</t>
  </si>
  <si>
    <t>E45062027</t>
  </si>
  <si>
    <t>E11772005F</t>
  </si>
  <si>
    <t>17954217-0</t>
  </si>
  <si>
    <t>17954218-0</t>
  </si>
  <si>
    <t>E31302040F</t>
  </si>
  <si>
    <t>17954317-0</t>
  </si>
  <si>
    <t>E20112156</t>
  </si>
  <si>
    <t>17954184-0</t>
  </si>
  <si>
    <t>17953982-0</t>
  </si>
  <si>
    <t>17954014-0</t>
  </si>
  <si>
    <t>E41772159</t>
  </si>
  <si>
    <t>09519114-0</t>
  </si>
  <si>
    <t>17953374-0</t>
  </si>
  <si>
    <t>15061894-0</t>
  </si>
  <si>
    <t>17953375-0</t>
  </si>
  <si>
    <t>E45962100</t>
  </si>
  <si>
    <t>E35532064</t>
  </si>
  <si>
    <t>E39012034</t>
  </si>
  <si>
    <t>E46320306</t>
  </si>
  <si>
    <t>09601101-0</t>
  </si>
  <si>
    <t>09601102-0</t>
  </si>
  <si>
    <t>09601111-0</t>
  </si>
  <si>
    <t>09601110-0</t>
  </si>
  <si>
    <t>09601112-0</t>
  </si>
  <si>
    <t>09601114-0</t>
  </si>
  <si>
    <t>09601115-0</t>
  </si>
  <si>
    <t>09601117-0</t>
  </si>
  <si>
    <t>09601104-0</t>
  </si>
  <si>
    <t>09601105-0</t>
  </si>
  <si>
    <t>09601125-0</t>
  </si>
  <si>
    <t>09601106-0</t>
  </si>
  <si>
    <t>09601107-0</t>
  </si>
  <si>
    <t>09601127-0</t>
  </si>
  <si>
    <t>92067532-0</t>
  </si>
  <si>
    <t>93300513-0</t>
  </si>
  <si>
    <t>93285904-0</t>
  </si>
  <si>
    <t>92097412-0</t>
  </si>
  <si>
    <t>93300509-0</t>
  </si>
  <si>
    <t>92097376-0</t>
  </si>
  <si>
    <t>93285903-0</t>
  </si>
  <si>
    <t>92097305-0</t>
  </si>
  <si>
    <t>93212009-0</t>
  </si>
  <si>
    <t>93085004-0</t>
  </si>
  <si>
    <t>92153051-0</t>
  </si>
  <si>
    <t>93085005-0</t>
  </si>
  <si>
    <t>09549386-0</t>
  </si>
  <si>
    <t>6107-1311</t>
  </si>
  <si>
    <t>09549226-0</t>
  </si>
  <si>
    <t>92330047-0</t>
  </si>
  <si>
    <t>92097417-0</t>
  </si>
  <si>
    <t>15064017-0</t>
  </si>
  <si>
    <t>92330109-0</t>
  </si>
  <si>
    <t>93056012-0</t>
  </si>
  <si>
    <t>92330045-0</t>
  </si>
  <si>
    <t>93212011-0</t>
  </si>
  <si>
    <t>09531311-0</t>
  </si>
  <si>
    <t>92097303-0</t>
  </si>
  <si>
    <t>93699708-0</t>
  </si>
  <si>
    <t>92137125-0</t>
  </si>
  <si>
    <t>92097410-0</t>
  </si>
  <si>
    <t>92083222-0</t>
  </si>
  <si>
    <t>09584088-0</t>
  </si>
  <si>
    <t>92099301-0</t>
  </si>
  <si>
    <t>93213009-0</t>
  </si>
  <si>
    <t>93057012-0</t>
  </si>
  <si>
    <t>09504643-0</t>
  </si>
  <si>
    <t>92330210-0</t>
  </si>
  <si>
    <t>93300507-0</t>
  </si>
  <si>
    <t>93285507-0</t>
  </si>
  <si>
    <t>92153050-0</t>
  </si>
  <si>
    <t>92097297-0</t>
  </si>
  <si>
    <t>93300607-0</t>
  </si>
  <si>
    <t>92330213-0</t>
  </si>
  <si>
    <t>09521230-0</t>
  </si>
  <si>
    <t>09504080-0</t>
  </si>
  <si>
    <t>09526601-0</t>
  </si>
  <si>
    <t>09504644-0</t>
  </si>
  <si>
    <t>09504772-0</t>
  </si>
  <si>
    <t>92083220-0</t>
  </si>
  <si>
    <t>92097265-0</t>
  </si>
  <si>
    <t>92153049-0</t>
  </si>
  <si>
    <t>93210109-0</t>
  </si>
  <si>
    <t>09518624-0</t>
  </si>
  <si>
    <t>508-111</t>
  </si>
  <si>
    <t>451-124</t>
  </si>
  <si>
    <t>H2H316161-62</t>
  </si>
  <si>
    <t>92097301-0</t>
  </si>
  <si>
    <t>09531052-0</t>
  </si>
  <si>
    <t>09549924-0</t>
  </si>
  <si>
    <t>09546737-0</t>
  </si>
  <si>
    <t>09546738-0</t>
  </si>
  <si>
    <t>09549908-0</t>
  </si>
  <si>
    <t>09500375-0</t>
  </si>
  <si>
    <t>92067419-0</t>
  </si>
  <si>
    <t>93085006-0</t>
  </si>
  <si>
    <t>93212012-0</t>
  </si>
  <si>
    <t>09530011-0</t>
  </si>
  <si>
    <t>93212020-0</t>
  </si>
  <si>
    <t>92067544-0</t>
  </si>
  <si>
    <t>93085009-0</t>
  </si>
  <si>
    <t>15053772-1</t>
  </si>
  <si>
    <t>09523243-0</t>
  </si>
  <si>
    <t>92097414-0</t>
  </si>
  <si>
    <t>92067469-0</t>
  </si>
  <si>
    <t>93300511-0</t>
  </si>
  <si>
    <t>93085807-0</t>
  </si>
  <si>
    <t>93210005-0</t>
  </si>
  <si>
    <t>93085107-0</t>
  </si>
  <si>
    <t>92116589-0</t>
  </si>
  <si>
    <t>92097299-0</t>
  </si>
  <si>
    <t>09515760-0</t>
  </si>
  <si>
    <t>09506017-0</t>
  </si>
  <si>
    <t>93212013-0</t>
  </si>
  <si>
    <t>6211-0482</t>
  </si>
  <si>
    <t>09503030-0</t>
  </si>
  <si>
    <t>93125063-0</t>
  </si>
  <si>
    <t>93212015-0</t>
  </si>
  <si>
    <t>93212018-0</t>
  </si>
  <si>
    <t>92106118-0</t>
  </si>
  <si>
    <t>93565245-0</t>
  </si>
  <si>
    <t>09579124-0</t>
  </si>
  <si>
    <t>93085805-0</t>
  </si>
  <si>
    <t>93085008-0</t>
  </si>
  <si>
    <t>09515757-0</t>
  </si>
  <si>
    <t>7203-1211</t>
  </si>
  <si>
    <t>09310235-0</t>
  </si>
  <si>
    <t>09519081-0</t>
  </si>
  <si>
    <t>09570225-0</t>
  </si>
  <si>
    <t>09544225-0</t>
  </si>
  <si>
    <t>09544493-0</t>
  </si>
  <si>
    <t>09570035-0</t>
  </si>
  <si>
    <t>92137127-0</t>
  </si>
  <si>
    <t>17953720-0</t>
  </si>
  <si>
    <t>6617-0007</t>
  </si>
  <si>
    <t>09544072-0</t>
  </si>
  <si>
    <t>09571001-0</t>
  </si>
  <si>
    <t>508-11</t>
  </si>
  <si>
    <t>92137081-0</t>
  </si>
  <si>
    <t>09570102-0</t>
  </si>
  <si>
    <t>09570130-0</t>
  </si>
  <si>
    <t>09544223-0</t>
  </si>
  <si>
    <t>09310237-0</t>
  </si>
  <si>
    <t>09310236-0</t>
  </si>
  <si>
    <t>09518517-0</t>
  </si>
  <si>
    <t>09570104-0</t>
  </si>
  <si>
    <t>09549140-0</t>
  </si>
  <si>
    <t>93075212-0</t>
  </si>
  <si>
    <t>09518664-0</t>
  </si>
  <si>
    <t>93210022-0</t>
  </si>
  <si>
    <t>5245-0194</t>
  </si>
  <si>
    <t>09518707-0</t>
  </si>
  <si>
    <t>93045007-0</t>
  </si>
  <si>
    <t>09519111-0</t>
  </si>
  <si>
    <t>09518508-0</t>
  </si>
  <si>
    <t>501-1</t>
  </si>
  <si>
    <t>09519105-0</t>
  </si>
  <si>
    <t>09543003-0</t>
  </si>
  <si>
    <t>09519107-0</t>
  </si>
  <si>
    <t>09309223-0</t>
  </si>
  <si>
    <t>09309221-0</t>
  </si>
  <si>
    <t>09531750-0</t>
  </si>
  <si>
    <t>92137205-0</t>
  </si>
  <si>
    <t>09503509-0</t>
  </si>
  <si>
    <t>289-25</t>
  </si>
  <si>
    <t>93699712-0</t>
  </si>
  <si>
    <t>93041010-0</t>
  </si>
  <si>
    <t>09533009-0</t>
  </si>
  <si>
    <t>09518716-0</t>
  </si>
  <si>
    <t>92097298-0</t>
  </si>
  <si>
    <t>09500390-0</t>
  </si>
  <si>
    <t>92139547-0</t>
  </si>
  <si>
    <t>92116088-0</t>
  </si>
  <si>
    <t>05500011-0</t>
  </si>
  <si>
    <t>92153033-0</t>
  </si>
  <si>
    <t>05300011-0</t>
  </si>
  <si>
    <t>92153066-0</t>
  </si>
  <si>
    <t>09582150-0</t>
  </si>
  <si>
    <t>93213012-0</t>
  </si>
  <si>
    <t>92139543-0</t>
  </si>
  <si>
    <t>09316321-0</t>
  </si>
  <si>
    <t>09570234-0</t>
  </si>
  <si>
    <t>09572134-0</t>
  </si>
  <si>
    <t>92139546-0</t>
  </si>
  <si>
    <t>09316324-0</t>
  </si>
  <si>
    <t>09316331-0</t>
  </si>
  <si>
    <t>09530969-0</t>
  </si>
  <si>
    <t>93085002-0</t>
  </si>
  <si>
    <t>93212007-0</t>
  </si>
  <si>
    <t>92097234-0</t>
  </si>
  <si>
    <t>718-194</t>
  </si>
  <si>
    <t>718-365</t>
  </si>
  <si>
    <t>718-251</t>
  </si>
  <si>
    <t>718-195</t>
  </si>
  <si>
    <t>09506012-0</t>
  </si>
  <si>
    <t>09570505-0</t>
  </si>
  <si>
    <t>09500025-0</t>
  </si>
  <si>
    <t>92772271-0</t>
  </si>
  <si>
    <t>92655001-0</t>
  </si>
  <si>
    <t>92116058-0</t>
  </si>
  <si>
    <t>93361110-0</t>
  </si>
  <si>
    <t>93085033-0</t>
  </si>
  <si>
    <t>09570147-0</t>
  </si>
  <si>
    <t>09544492-0</t>
  </si>
  <si>
    <t>09544500-0</t>
  </si>
  <si>
    <t>09570212-0</t>
  </si>
  <si>
    <t>92097378-0</t>
  </si>
  <si>
    <t>93210523-0</t>
  </si>
  <si>
    <t>404-18</t>
  </si>
  <si>
    <t>09530478-0</t>
  </si>
  <si>
    <t>09530477-0</t>
  </si>
  <si>
    <t>92067543-0</t>
  </si>
  <si>
    <t>6381-0137</t>
  </si>
  <si>
    <t>93565204-0</t>
  </si>
  <si>
    <t>R64556208000</t>
  </si>
  <si>
    <t>404-15</t>
  </si>
  <si>
    <t>92072120-0</t>
  </si>
  <si>
    <t>09606041-0</t>
  </si>
  <si>
    <t>09606042-0</t>
  </si>
  <si>
    <t>92137164-0</t>
  </si>
  <si>
    <t>93300510-0</t>
  </si>
  <si>
    <t>09531337-0</t>
  </si>
  <si>
    <t>6107-1252</t>
  </si>
  <si>
    <t>92096379-0</t>
  </si>
  <si>
    <t>93285905-0</t>
  </si>
  <si>
    <t>09501391-0</t>
  </si>
  <si>
    <t>09501392-0</t>
  </si>
  <si>
    <t>09504106-0</t>
  </si>
  <si>
    <t>09531095-0</t>
  </si>
  <si>
    <t>09531096-0</t>
  </si>
  <si>
    <t>09572135-0</t>
  </si>
  <si>
    <t>09518140-0</t>
  </si>
  <si>
    <t>93085604-0</t>
  </si>
  <si>
    <t>09606043-0</t>
  </si>
  <si>
    <t>09500977-0</t>
  </si>
  <si>
    <t>05301006-0</t>
  </si>
  <si>
    <t>05500006-0</t>
  </si>
  <si>
    <t>09531407-0</t>
  </si>
  <si>
    <t>09531410-0</t>
  </si>
  <si>
    <t>09589046-0</t>
  </si>
  <si>
    <t>09598749-0</t>
  </si>
  <si>
    <t>09506115-0</t>
  </si>
  <si>
    <t>09588237-0</t>
  </si>
  <si>
    <t>92137087-0</t>
  </si>
  <si>
    <t>92137120-0</t>
  </si>
  <si>
    <t>09572128-0</t>
  </si>
  <si>
    <t>09519101-0</t>
  </si>
  <si>
    <t>09518743-0</t>
  </si>
  <si>
    <t>09518742-0</t>
  </si>
  <si>
    <t>09518614-0</t>
  </si>
  <si>
    <t>09518587-0</t>
  </si>
  <si>
    <t>09519112-0</t>
  </si>
  <si>
    <t>09599100-0</t>
  </si>
  <si>
    <t>09599102-0</t>
  </si>
  <si>
    <t>09546008-0</t>
  </si>
  <si>
    <t>09546064-0M</t>
  </si>
  <si>
    <t>09546754-0</t>
  </si>
  <si>
    <t>09518833-0</t>
  </si>
  <si>
    <t>09570473-0</t>
  </si>
  <si>
    <t>09544644-0</t>
  </si>
  <si>
    <t>09598708-0</t>
  </si>
  <si>
    <t>09598707-0</t>
  </si>
  <si>
    <t>09599101-0</t>
  </si>
  <si>
    <t>09570026-0</t>
  </si>
  <si>
    <t>09570002-0</t>
  </si>
  <si>
    <t>09571078-0</t>
  </si>
  <si>
    <t>93056061-0</t>
  </si>
  <si>
    <t>92097374-0</t>
  </si>
  <si>
    <t>92097452-0</t>
  </si>
  <si>
    <t>93085007-0</t>
  </si>
  <si>
    <t>92067472-0</t>
  </si>
  <si>
    <t>09518116-0</t>
  </si>
  <si>
    <t>92137086-0</t>
  </si>
  <si>
    <t>09506008-0</t>
  </si>
  <si>
    <t>09518616-0</t>
  </si>
  <si>
    <t>92137090-0</t>
  </si>
  <si>
    <t>09579121-0</t>
  </si>
  <si>
    <t>15052180-1</t>
  </si>
  <si>
    <t>92097451-0</t>
  </si>
  <si>
    <t>24-17</t>
  </si>
  <si>
    <t>09526603-0</t>
  </si>
  <si>
    <t>09518665-0</t>
  </si>
  <si>
    <t>09518666-0</t>
  </si>
  <si>
    <t>09519118-0</t>
  </si>
  <si>
    <t>93214014-0</t>
  </si>
  <si>
    <t>6107-1672</t>
  </si>
  <si>
    <t>93285906-0</t>
  </si>
  <si>
    <t>92330193-0</t>
  </si>
  <si>
    <t>93700206-0</t>
  </si>
  <si>
    <t>93213010-0</t>
  </si>
  <si>
    <t>92137116-0</t>
  </si>
  <si>
    <t>92140595-0</t>
  </si>
  <si>
    <t>92137270-0</t>
  </si>
  <si>
    <t>6107-1982</t>
  </si>
  <si>
    <t>09571074-0</t>
  </si>
  <si>
    <t>H1SC19006-69</t>
  </si>
  <si>
    <t>09549210-0</t>
  </si>
  <si>
    <t>93086034-0</t>
  </si>
  <si>
    <t>09570088-0</t>
  </si>
  <si>
    <t>92099299-0</t>
  </si>
  <si>
    <t>92099303-0</t>
  </si>
  <si>
    <t>92119004-0</t>
  </si>
  <si>
    <t>09526605-0</t>
  </si>
  <si>
    <t>09531055-0</t>
  </si>
  <si>
    <t>09518727-0</t>
  </si>
  <si>
    <t>09531012-0</t>
  </si>
  <si>
    <t>09531011-0</t>
  </si>
  <si>
    <t>09518608-0</t>
  </si>
  <si>
    <t>501-25</t>
  </si>
  <si>
    <t>09531009-0</t>
  </si>
  <si>
    <t>09531351-0</t>
  </si>
  <si>
    <t>92330036-0</t>
  </si>
  <si>
    <t>92330033-0</t>
  </si>
  <si>
    <t>92330035-0</t>
  </si>
  <si>
    <t>09523351-0</t>
  </si>
  <si>
    <t>92330034-0</t>
  </si>
  <si>
    <t>09549148-0</t>
  </si>
  <si>
    <t>507-2</t>
  </si>
  <si>
    <t>507-3</t>
  </si>
  <si>
    <t>6601-1349</t>
  </si>
  <si>
    <t>92330046-0</t>
  </si>
  <si>
    <t>508-119</t>
  </si>
  <si>
    <t>09549159-0</t>
  </si>
  <si>
    <t>92330166-0</t>
  </si>
  <si>
    <t>09518657-0</t>
  </si>
  <si>
    <t>09518654-0</t>
  </si>
  <si>
    <t>09518658-0</t>
  </si>
  <si>
    <t>09519108-0</t>
  </si>
  <si>
    <t>92097415-0</t>
  </si>
  <si>
    <t>09549401-0</t>
  </si>
  <si>
    <t>09549604-0</t>
  </si>
  <si>
    <t>09549605-0</t>
  </si>
  <si>
    <t>09549608-0</t>
  </si>
  <si>
    <t>09518655-0</t>
  </si>
  <si>
    <t>09549402-0</t>
  </si>
  <si>
    <t>92097263-0</t>
  </si>
  <si>
    <t>134-88</t>
  </si>
  <si>
    <t>09546404-0</t>
  </si>
  <si>
    <t>09546425-0</t>
  </si>
  <si>
    <t>09567334-0</t>
  </si>
  <si>
    <t>92153101-0</t>
  </si>
  <si>
    <t>15052736-0</t>
  </si>
  <si>
    <t>92067388-0</t>
  </si>
  <si>
    <t>134-59</t>
  </si>
  <si>
    <t>6645-16</t>
  </si>
  <si>
    <t>09567340-0</t>
  </si>
  <si>
    <t>09567341-0</t>
  </si>
  <si>
    <t>09567344-0</t>
  </si>
  <si>
    <t>09567342-0</t>
  </si>
  <si>
    <t>09567343-0</t>
  </si>
  <si>
    <t>09567345-0</t>
  </si>
  <si>
    <t>09567346-0</t>
  </si>
  <si>
    <t>09567347-0</t>
  </si>
  <si>
    <t>09567348-0</t>
  </si>
  <si>
    <t>09567349-0</t>
  </si>
  <si>
    <t>09567350-0</t>
  </si>
  <si>
    <t>09567355-0</t>
  </si>
  <si>
    <t>09567352-0</t>
  </si>
  <si>
    <t>09567354-0</t>
  </si>
  <si>
    <t>09567353-0</t>
  </si>
  <si>
    <t>09567351-0</t>
  </si>
  <si>
    <t>92097461-0</t>
  </si>
  <si>
    <t>09579115-0</t>
  </si>
  <si>
    <t>09579116-0</t>
  </si>
  <si>
    <t>09544486-0</t>
  </si>
  <si>
    <t>92097310-0</t>
  </si>
  <si>
    <t>92119001-0</t>
  </si>
  <si>
    <t>09518433-0</t>
  </si>
  <si>
    <t>09570095-0</t>
  </si>
  <si>
    <t>09571071-0</t>
  </si>
  <si>
    <t>09518754-0</t>
  </si>
  <si>
    <t>09544691-0</t>
  </si>
  <si>
    <t>E22032286F</t>
  </si>
  <si>
    <t>92782082-0</t>
  </si>
  <si>
    <t>09518555-0</t>
  </si>
  <si>
    <t>09520109-0</t>
  </si>
  <si>
    <t>92137133-0</t>
  </si>
  <si>
    <t>75645-1</t>
  </si>
  <si>
    <t>09544440-0</t>
  </si>
  <si>
    <t>09572958-0</t>
  </si>
  <si>
    <t>92330048-0</t>
  </si>
  <si>
    <t>09549417-0</t>
  </si>
  <si>
    <t>93085605-0</t>
  </si>
  <si>
    <t>09549943-0</t>
  </si>
  <si>
    <t>93300610-0</t>
  </si>
  <si>
    <t>92099371-0</t>
  </si>
  <si>
    <t>501-8</t>
  </si>
  <si>
    <t>92099373-0</t>
  </si>
  <si>
    <t>09549613-0</t>
  </si>
  <si>
    <t>09549609-0</t>
  </si>
  <si>
    <t>09549626-0</t>
  </si>
  <si>
    <t>09549618-0</t>
  </si>
  <si>
    <t>15063779-0</t>
  </si>
  <si>
    <t>17953989-0</t>
  </si>
  <si>
    <t>849-505</t>
  </si>
  <si>
    <t>849-504</t>
  </si>
  <si>
    <t>09549628-0</t>
  </si>
  <si>
    <t>92330056-0</t>
  </si>
  <si>
    <t>508-3</t>
  </si>
  <si>
    <t>277-279</t>
  </si>
  <si>
    <t>277-264</t>
  </si>
  <si>
    <t>452-65</t>
  </si>
  <si>
    <t>09518752-0</t>
  </si>
  <si>
    <t>09518836-0</t>
  </si>
  <si>
    <t>09518835-0</t>
  </si>
  <si>
    <t>09531006-0</t>
  </si>
  <si>
    <t>09530209-0</t>
  </si>
  <si>
    <t>92138085-0</t>
  </si>
  <si>
    <t>6475-0192</t>
  </si>
  <si>
    <t>51-58</t>
  </si>
  <si>
    <t>92097306-0</t>
  </si>
  <si>
    <t>09567026-0</t>
  </si>
  <si>
    <t>09567027-0</t>
  </si>
  <si>
    <t>09567028-0</t>
  </si>
  <si>
    <t>09567032-0</t>
  </si>
  <si>
    <t>09531053-0</t>
  </si>
  <si>
    <t>92099298-0</t>
  </si>
  <si>
    <t>E45962080</t>
  </si>
  <si>
    <t>92330231-0</t>
  </si>
  <si>
    <t>09593914-0</t>
  </si>
  <si>
    <t>09593915-0</t>
  </si>
  <si>
    <t>92137129-0</t>
  </si>
  <si>
    <t>09593182-0</t>
  </si>
  <si>
    <t>09593904-0</t>
  </si>
  <si>
    <t>09567046-0</t>
  </si>
  <si>
    <t>92097390-0</t>
  </si>
  <si>
    <t>09579013-0</t>
  </si>
  <si>
    <t>09567030-0</t>
  </si>
  <si>
    <t>92097386-0</t>
  </si>
  <si>
    <t>09567031-0</t>
  </si>
  <si>
    <t>508-130</t>
  </si>
  <si>
    <t>09546664-0</t>
  </si>
  <si>
    <t>92097460-0</t>
  </si>
  <si>
    <t>09579117-0</t>
  </si>
  <si>
    <t>217-18</t>
  </si>
  <si>
    <t>217-19</t>
  </si>
  <si>
    <t>93699710-0</t>
  </si>
  <si>
    <t>92330339-0</t>
  </si>
  <si>
    <t>09579129-0</t>
  </si>
  <si>
    <t>09549945-0</t>
  </si>
  <si>
    <t>09530377-0</t>
  </si>
  <si>
    <t>6122-2082</t>
  </si>
  <si>
    <t>92083038-0</t>
  </si>
  <si>
    <t>93056014-0</t>
  </si>
  <si>
    <t>09608050-0</t>
  </si>
  <si>
    <t>09602331-0</t>
  </si>
  <si>
    <t>92330190-0</t>
  </si>
  <si>
    <t>92555554-0</t>
  </si>
  <si>
    <t>92555559-0</t>
  </si>
  <si>
    <t>92099381-0</t>
  </si>
  <si>
    <t>92099376-0</t>
  </si>
  <si>
    <t>09531001-0</t>
  </si>
  <si>
    <t>09518687-0</t>
  </si>
  <si>
    <t>09518708-0</t>
  </si>
  <si>
    <t>09571401-0</t>
  </si>
  <si>
    <t>09518830-0</t>
  </si>
  <si>
    <t>09518831-0</t>
  </si>
  <si>
    <t>09518622-0</t>
  </si>
  <si>
    <t>09550136-0</t>
  </si>
  <si>
    <t>09518243-0</t>
  </si>
  <si>
    <t>09518501-0</t>
  </si>
  <si>
    <t>09549414-0</t>
  </si>
  <si>
    <t>09549413-0</t>
  </si>
  <si>
    <t>09549415-0</t>
  </si>
  <si>
    <t>09549416-0</t>
  </si>
  <si>
    <t>09518737-0</t>
  </si>
  <si>
    <t>09518695-0</t>
  </si>
  <si>
    <t>09549611-0</t>
  </si>
  <si>
    <t>09549614-0</t>
  </si>
  <si>
    <t>09549616-0</t>
  </si>
  <si>
    <t>09549617-0</t>
  </si>
  <si>
    <t>09518500-0</t>
  </si>
  <si>
    <t>09549602-0</t>
  </si>
  <si>
    <t>09549610-0</t>
  </si>
  <si>
    <t>09546648-0</t>
  </si>
  <si>
    <t>09546697-0</t>
  </si>
  <si>
    <t>09546647-0</t>
  </si>
  <si>
    <t>09518667-0</t>
  </si>
  <si>
    <t>93699707-0</t>
  </si>
  <si>
    <t>6124-0646</t>
  </si>
  <si>
    <t>09312008-0</t>
  </si>
  <si>
    <t>09320809-0</t>
  </si>
  <si>
    <t>09314284-0</t>
  </si>
  <si>
    <t>93085003-0</t>
  </si>
  <si>
    <t>92153032-0</t>
  </si>
  <si>
    <t>09328235-0</t>
  </si>
  <si>
    <t>09328238-0</t>
  </si>
  <si>
    <t>09328236-0</t>
  </si>
  <si>
    <t>09328237-0</t>
  </si>
  <si>
    <t>09328241-0</t>
  </si>
  <si>
    <t>92097372-0</t>
  </si>
  <si>
    <t>92330211-0</t>
  </si>
  <si>
    <t>92097379-0</t>
  </si>
  <si>
    <t>92097261-0</t>
  </si>
  <si>
    <t>09518760-0</t>
  </si>
  <si>
    <t>R81322715202</t>
  </si>
  <si>
    <t>R414000415354</t>
  </si>
  <si>
    <t>09544473-0</t>
  </si>
  <si>
    <t>92067387-0</t>
  </si>
  <si>
    <t>92097380-0</t>
  </si>
  <si>
    <t>92067385-0</t>
  </si>
  <si>
    <t>92067463-0</t>
  </si>
  <si>
    <t>92119031-0</t>
  </si>
  <si>
    <t>15053960-1</t>
  </si>
  <si>
    <t>92097405-0</t>
  </si>
  <si>
    <t>93076057-0</t>
  </si>
  <si>
    <t>93300411-0</t>
  </si>
  <si>
    <t>93281005-0</t>
  </si>
  <si>
    <t>92330009-0</t>
  </si>
  <si>
    <t>09526242-0</t>
  </si>
  <si>
    <t>15053639-0</t>
  </si>
  <si>
    <t>09524047-0</t>
  </si>
  <si>
    <t>17951525-0</t>
  </si>
  <si>
    <t>92015036-0</t>
  </si>
  <si>
    <t>93056016-0</t>
  </si>
  <si>
    <t>09598484-0</t>
  </si>
  <si>
    <t>09593180-0</t>
  </si>
  <si>
    <t>09593560-0</t>
  </si>
  <si>
    <t>09531194-0</t>
  </si>
  <si>
    <t>92119015-0</t>
  </si>
  <si>
    <t>92119030-0</t>
  </si>
  <si>
    <t>93128110-0</t>
  </si>
  <si>
    <t>09533438-0</t>
  </si>
  <si>
    <t>421-4</t>
  </si>
  <si>
    <t>93128125-0</t>
  </si>
  <si>
    <t>09533395-0</t>
  </si>
  <si>
    <t>09531034-0</t>
  </si>
  <si>
    <t>09504426-0</t>
  </si>
  <si>
    <t>93720246-0</t>
  </si>
  <si>
    <t>09530322-0</t>
  </si>
  <si>
    <t>09604051-0</t>
  </si>
  <si>
    <t>09570504-0</t>
  </si>
  <si>
    <t>H1H405011-165</t>
  </si>
  <si>
    <t>H1H405018-145</t>
  </si>
  <si>
    <t>09544489-0</t>
  </si>
  <si>
    <t>09544491-0</t>
  </si>
  <si>
    <t>54-2</t>
  </si>
  <si>
    <t>09552971-0</t>
  </si>
  <si>
    <t>09552972-0</t>
  </si>
  <si>
    <t>92099377-0</t>
  </si>
  <si>
    <t>92097381-0</t>
  </si>
  <si>
    <t>421-2</t>
  </si>
  <si>
    <t>09533440-0</t>
  </si>
  <si>
    <t>09533439-0</t>
  </si>
  <si>
    <t>09530350-0</t>
  </si>
  <si>
    <t>H1H406051-38-185</t>
  </si>
  <si>
    <t>92097463-0</t>
  </si>
  <si>
    <t>15057918-1</t>
  </si>
  <si>
    <t>09533089-0</t>
  </si>
  <si>
    <t>15059198-0</t>
  </si>
  <si>
    <t>15059199-0</t>
  </si>
  <si>
    <t>17950178-0</t>
  </si>
  <si>
    <t>17953098-0</t>
  </si>
  <si>
    <t>05900315-0</t>
  </si>
  <si>
    <t>93076004-0</t>
  </si>
  <si>
    <t>09505047-0</t>
  </si>
  <si>
    <t>09556003-0</t>
  </si>
  <si>
    <t>92067473-0</t>
  </si>
  <si>
    <t>09505028-0</t>
  </si>
  <si>
    <t>93056082-0</t>
  </si>
  <si>
    <t>09533088-0</t>
  </si>
  <si>
    <t>92067499-0</t>
  </si>
  <si>
    <t>92067495-0</t>
  </si>
  <si>
    <t>92097489-0</t>
  </si>
  <si>
    <t>93271012-0</t>
  </si>
  <si>
    <t>92097458-0</t>
  </si>
  <si>
    <t>93281006-0</t>
  </si>
  <si>
    <t>92097416-0</t>
  </si>
  <si>
    <t>09533086-0</t>
  </si>
  <si>
    <t>09533087-0</t>
  </si>
  <si>
    <t>93056906-0</t>
  </si>
  <si>
    <t>09544466-0</t>
  </si>
  <si>
    <t>09514836-0</t>
  </si>
  <si>
    <t>H1H406013-035</t>
  </si>
  <si>
    <t>09570136-0</t>
  </si>
  <si>
    <t>93056015-0</t>
  </si>
  <si>
    <t>92067422-0</t>
  </si>
  <si>
    <t>H1H404002-140</t>
  </si>
  <si>
    <t>09571065-0</t>
  </si>
  <si>
    <t>H1H404002-115</t>
  </si>
  <si>
    <t>09552973-0</t>
  </si>
  <si>
    <t>H1H408002-110</t>
  </si>
  <si>
    <t>H1H404002-50</t>
  </si>
  <si>
    <t>09544495-0</t>
  </si>
  <si>
    <t>H1H404002-70</t>
  </si>
  <si>
    <t>H1H404002-80</t>
  </si>
  <si>
    <t>09571241-0</t>
  </si>
  <si>
    <t>09570382-0</t>
  </si>
  <si>
    <t>09546235-0</t>
  </si>
  <si>
    <t>H1H404002-25</t>
  </si>
  <si>
    <t>H1H404002-30</t>
  </si>
  <si>
    <t>6615-0501</t>
  </si>
  <si>
    <t>09544548-0</t>
  </si>
  <si>
    <t>09570458-0</t>
  </si>
  <si>
    <t>09570219-0</t>
  </si>
  <si>
    <t>425-16</t>
  </si>
  <si>
    <t>93209111-0</t>
  </si>
  <si>
    <t>15057441-0</t>
  </si>
  <si>
    <t>425-2</t>
  </si>
  <si>
    <t>15055689-0</t>
  </si>
  <si>
    <t>09579015-0</t>
  </si>
  <si>
    <t>92097370-0</t>
  </si>
  <si>
    <t>92097392-0</t>
  </si>
  <si>
    <t>09593382-0</t>
  </si>
  <si>
    <t>283-4</t>
  </si>
  <si>
    <t>92096450-0</t>
  </si>
  <si>
    <t>462-12</t>
  </si>
  <si>
    <t>38-11</t>
  </si>
  <si>
    <t>92097448-0</t>
  </si>
  <si>
    <t>283-1</t>
  </si>
  <si>
    <t>93085035-0</t>
  </si>
  <si>
    <t>93085034-0</t>
  </si>
  <si>
    <t>404-16</t>
  </si>
  <si>
    <t>421-6</t>
  </si>
  <si>
    <t>425-14</t>
  </si>
  <si>
    <t>283-27</t>
  </si>
  <si>
    <t>421-7</t>
  </si>
  <si>
    <t>72065-1</t>
  </si>
  <si>
    <t>283-28</t>
  </si>
  <si>
    <t>93085011-0</t>
  </si>
  <si>
    <t>92070040-0</t>
  </si>
  <si>
    <t>425-15</t>
  </si>
  <si>
    <t>92097423-0</t>
  </si>
  <si>
    <t>09500010-0</t>
  </si>
  <si>
    <t>92067307-0</t>
  </si>
  <si>
    <t>09544497-0</t>
  </si>
  <si>
    <t>H1H405010-102</t>
  </si>
  <si>
    <t>H1H405010-103</t>
  </si>
  <si>
    <t>09544494-0</t>
  </si>
  <si>
    <t>H1H406365-56</t>
  </si>
  <si>
    <t>H1H406353-73</t>
  </si>
  <si>
    <t>H1H406000-70</t>
  </si>
  <si>
    <t>H1H405002-65</t>
  </si>
  <si>
    <t>6615-2316</t>
  </si>
  <si>
    <t>09552976-0</t>
  </si>
  <si>
    <t>H1H408002-101</t>
  </si>
  <si>
    <t>H1H408001-103</t>
  </si>
  <si>
    <t>H1H408365-62</t>
  </si>
  <si>
    <t>H1H408002-113</t>
  </si>
  <si>
    <t>H1H406002-79</t>
  </si>
  <si>
    <t>H1H408002-120</t>
  </si>
  <si>
    <t>H1H406002-58</t>
  </si>
  <si>
    <t>09571060-0</t>
  </si>
  <si>
    <t>H1H406002-41</t>
  </si>
  <si>
    <t>H1H406002-90</t>
  </si>
  <si>
    <t>H1H406002-66</t>
  </si>
  <si>
    <t>09544436-0</t>
  </si>
  <si>
    <t>H1H406002-47</t>
  </si>
  <si>
    <t>H1H406000-51</t>
  </si>
  <si>
    <t>H1H406347-104</t>
  </si>
  <si>
    <t>H1H408002-116</t>
  </si>
  <si>
    <t>H1H408002-117</t>
  </si>
  <si>
    <t>09544268-0</t>
  </si>
  <si>
    <t>09570470-0</t>
  </si>
  <si>
    <t>09309222-0</t>
  </si>
  <si>
    <t>09549114-0</t>
  </si>
  <si>
    <t>92067309-0</t>
  </si>
  <si>
    <t>09570413-0</t>
  </si>
  <si>
    <t>09514835-0</t>
  </si>
  <si>
    <t>15053411-0</t>
  </si>
  <si>
    <t>93271013-0</t>
  </si>
  <si>
    <t>92510439-0</t>
  </si>
  <si>
    <t>09530323-0</t>
  </si>
  <si>
    <t>09500216-0</t>
  </si>
  <si>
    <t>15053413-0</t>
  </si>
  <si>
    <t>15053179-1</t>
  </si>
  <si>
    <t>15050364-0</t>
  </si>
  <si>
    <t>15053190-0</t>
  </si>
  <si>
    <t>15052532-0</t>
  </si>
  <si>
    <t>09506021-0</t>
  </si>
  <si>
    <t>15052540-0</t>
  </si>
  <si>
    <t>93700208-0</t>
  </si>
  <si>
    <t>15052538-1</t>
  </si>
  <si>
    <t>92061098-0</t>
  </si>
  <si>
    <t>93271015-0</t>
  </si>
  <si>
    <t>93565280-0</t>
  </si>
  <si>
    <t>09525468-0</t>
  </si>
  <si>
    <t>09522459-0</t>
  </si>
  <si>
    <t>15052523-0</t>
  </si>
  <si>
    <t>15052547-0</t>
  </si>
  <si>
    <t>09522460-0</t>
  </si>
  <si>
    <t>93086060-0</t>
  </si>
  <si>
    <t>93300014-0</t>
  </si>
  <si>
    <t>09506018-0</t>
  </si>
  <si>
    <t>09549075-0</t>
  </si>
  <si>
    <t>93212019-0</t>
  </si>
  <si>
    <t>54-61</t>
  </si>
  <si>
    <t>6476-1006</t>
  </si>
  <si>
    <t>15053173-0</t>
  </si>
  <si>
    <t>15053171-0</t>
  </si>
  <si>
    <t>15053189-0</t>
  </si>
  <si>
    <t>15052949-2</t>
  </si>
  <si>
    <t>15053188-0</t>
  </si>
  <si>
    <t>15053170-0</t>
  </si>
  <si>
    <t>09503013-0</t>
  </si>
  <si>
    <t>15053206-0</t>
  </si>
  <si>
    <t>92097450-0</t>
  </si>
  <si>
    <t>15053412-0</t>
  </si>
  <si>
    <t>R414000430095</t>
  </si>
  <si>
    <t>09500031-0</t>
  </si>
  <si>
    <t>09523266-0</t>
  </si>
  <si>
    <t>09522262-0</t>
  </si>
  <si>
    <t>09522350-0</t>
  </si>
  <si>
    <t>15053598-0</t>
  </si>
  <si>
    <t>15053599-0</t>
  </si>
  <si>
    <t>92067471-0</t>
  </si>
  <si>
    <t>15053191-1</t>
  </si>
  <si>
    <t>15053194-0</t>
  </si>
  <si>
    <t>R414000430047</t>
  </si>
  <si>
    <t>15062271-0</t>
  </si>
  <si>
    <t>93565240-0</t>
  </si>
  <si>
    <t>93545536-0</t>
  </si>
  <si>
    <t>09530097-0</t>
  </si>
  <si>
    <t>09530001-0</t>
  </si>
  <si>
    <t>15052539-1</t>
  </si>
  <si>
    <t>15053409-0</t>
  </si>
  <si>
    <t>R173229331911</t>
  </si>
  <si>
    <t>09500215-0</t>
  </si>
  <si>
    <t>09571030-0</t>
  </si>
  <si>
    <t>303-1</t>
  </si>
  <si>
    <t>09570197-0</t>
  </si>
  <si>
    <t>09549153-0</t>
  </si>
  <si>
    <t>09579029-0</t>
  </si>
  <si>
    <t>15052525-0</t>
  </si>
  <si>
    <t>15050470-0</t>
  </si>
  <si>
    <t>R414000382545</t>
  </si>
  <si>
    <t>R414000382540</t>
  </si>
  <si>
    <t>15050387-1</t>
  </si>
  <si>
    <t>09505853-0</t>
  </si>
  <si>
    <t>06470008-0</t>
  </si>
  <si>
    <t>09500008-0</t>
  </si>
  <si>
    <t>15052562-0</t>
  </si>
  <si>
    <t>09536850-0</t>
  </si>
  <si>
    <t>09504362-0</t>
  </si>
  <si>
    <t>15050300-0</t>
  </si>
  <si>
    <t>09506014-0</t>
  </si>
  <si>
    <t>15050274-0</t>
  </si>
  <si>
    <t>93700210-0</t>
  </si>
  <si>
    <t>92135110-0</t>
  </si>
  <si>
    <t>15052521-1</t>
  </si>
  <si>
    <t>15052545-0</t>
  </si>
  <si>
    <t>15053408-0</t>
  </si>
  <si>
    <t>93225113-0</t>
  </si>
  <si>
    <t>09549143-0</t>
  </si>
  <si>
    <t>92067313-0</t>
  </si>
  <si>
    <t>15052579-1</t>
  </si>
  <si>
    <t>09549922-0</t>
  </si>
  <si>
    <t>15052527-2</t>
  </si>
  <si>
    <t>09505052-0</t>
  </si>
  <si>
    <t>15052537-0</t>
  </si>
  <si>
    <t>93271010-0</t>
  </si>
  <si>
    <t>15052546-1</t>
  </si>
  <si>
    <t>09533011-0</t>
  </si>
  <si>
    <t>09533043-0</t>
  </si>
  <si>
    <t>92097419-0</t>
  </si>
  <si>
    <t>92097453-0</t>
  </si>
  <si>
    <t>93086056-0</t>
  </si>
  <si>
    <t>15053968-0</t>
  </si>
  <si>
    <t>09500212-0</t>
  </si>
  <si>
    <t>6601-1329</t>
  </si>
  <si>
    <t>09572952-0</t>
  </si>
  <si>
    <t>15052908-0</t>
  </si>
  <si>
    <t>15051166-0</t>
  </si>
  <si>
    <t>92097371-0</t>
  </si>
  <si>
    <t>92510065-0</t>
  </si>
  <si>
    <t>93086088-0</t>
  </si>
  <si>
    <t>15052535-0</t>
  </si>
  <si>
    <t>15052534-0</t>
  </si>
  <si>
    <t>15052533-2</t>
  </si>
  <si>
    <t>15053447-0</t>
  </si>
  <si>
    <t>93086055-0</t>
  </si>
  <si>
    <t>15052550-2</t>
  </si>
  <si>
    <t>15052549-0</t>
  </si>
  <si>
    <t>H1H406027-99-270</t>
  </si>
  <si>
    <t>H1H406027-107-270</t>
  </si>
  <si>
    <t>H1H406027-91-270</t>
  </si>
  <si>
    <t>H1H406027-89-270</t>
  </si>
  <si>
    <t>H1SC06051-170-90</t>
  </si>
  <si>
    <t>H1H406027-98-270</t>
  </si>
  <si>
    <t>6105-0781</t>
  </si>
  <si>
    <t>92067325-0</t>
  </si>
  <si>
    <t>15062230-0</t>
  </si>
  <si>
    <t>508-112</t>
  </si>
  <si>
    <t>15053173-2</t>
  </si>
  <si>
    <t>15055645-1</t>
  </si>
  <si>
    <t>15053280-1</t>
  </si>
  <si>
    <t>15055674-0</t>
  </si>
  <si>
    <t>93225020-0</t>
  </si>
  <si>
    <t>09503018-0</t>
  </si>
  <si>
    <t>09505054-0</t>
  </si>
  <si>
    <t>15053075-1</t>
  </si>
  <si>
    <t>09523186-0</t>
  </si>
  <si>
    <t>R414000415990</t>
  </si>
  <si>
    <t>93057014-0</t>
  </si>
  <si>
    <t>15053271-0</t>
  </si>
  <si>
    <t>15055763-0</t>
  </si>
  <si>
    <t>270-19</t>
  </si>
  <si>
    <t>15055611-1</t>
  </si>
  <si>
    <t>09503019-0</t>
  </si>
  <si>
    <t>15053281-3</t>
  </si>
  <si>
    <t>92153100-0</t>
  </si>
  <si>
    <t>15055646-1</t>
  </si>
  <si>
    <t>92097525-0</t>
  </si>
  <si>
    <t>09533012-0</t>
  </si>
  <si>
    <t>09533044-0</t>
  </si>
  <si>
    <t>15055649-0</t>
  </si>
  <si>
    <t>93700212-0</t>
  </si>
  <si>
    <t>92067396-0</t>
  </si>
  <si>
    <t>09579028-0</t>
  </si>
  <si>
    <t>93300609-0</t>
  </si>
  <si>
    <t>09556001-0</t>
  </si>
  <si>
    <t>15055657-1</t>
  </si>
  <si>
    <t>15055659-1</t>
  </si>
  <si>
    <t>15055660-0</t>
  </si>
  <si>
    <t>15055661-1</t>
  </si>
  <si>
    <t>93701031-0</t>
  </si>
  <si>
    <t>15055658-1</t>
  </si>
  <si>
    <t>H1SC06051-164-90</t>
  </si>
  <si>
    <t>92067316-0</t>
  </si>
  <si>
    <t>09544267-0</t>
  </si>
  <si>
    <t>6107-2001</t>
  </si>
  <si>
    <t>93700213-0</t>
  </si>
  <si>
    <t>92097424-0</t>
  </si>
  <si>
    <t>92067312-0</t>
  </si>
  <si>
    <t>09549110-0</t>
  </si>
  <si>
    <t>09530414-0</t>
  </si>
  <si>
    <t>17950931-0</t>
  </si>
  <si>
    <t>E77103616</t>
  </si>
  <si>
    <t>09505099-0</t>
  </si>
  <si>
    <t>93699711-0</t>
  </si>
  <si>
    <t>09579274-0</t>
  </si>
  <si>
    <t>93210402-0</t>
  </si>
  <si>
    <t>93225115-0</t>
  </si>
  <si>
    <t>H1SC06051-194-90</t>
  </si>
  <si>
    <t>92097408-0</t>
  </si>
  <si>
    <t>92097422-0</t>
  </si>
  <si>
    <t>15053334-0</t>
  </si>
  <si>
    <t>15053333-0</t>
  </si>
  <si>
    <t>15053282-0</t>
  </si>
  <si>
    <t>15053323-0</t>
  </si>
  <si>
    <t>15053283-0</t>
  </si>
  <si>
    <t>93086057-0</t>
  </si>
  <si>
    <t>15055662-0</t>
  </si>
  <si>
    <t>15064034-0</t>
  </si>
  <si>
    <t>7453-0098</t>
  </si>
  <si>
    <t>7970-1285</t>
  </si>
  <si>
    <t>71343-1</t>
  </si>
  <si>
    <t>71107-1</t>
  </si>
  <si>
    <t>70104-1S</t>
  </si>
  <si>
    <t>09593472-0</t>
  </si>
  <si>
    <t>93085001-0</t>
  </si>
  <si>
    <t>92067215-0</t>
  </si>
  <si>
    <t>92555528-0</t>
  </si>
  <si>
    <t>09579113-0</t>
  </si>
  <si>
    <t>92555531-0</t>
  </si>
  <si>
    <t>09523346-0</t>
  </si>
  <si>
    <t>92069383-0</t>
  </si>
  <si>
    <t>68-69</t>
  </si>
  <si>
    <t>92555557-0</t>
  </si>
  <si>
    <t>09593148-0</t>
  </si>
  <si>
    <t>09594570-0</t>
  </si>
  <si>
    <t>09552991-0</t>
  </si>
  <si>
    <t>09533007-0</t>
  </si>
  <si>
    <t>09533039-0</t>
  </si>
  <si>
    <t>93041009-0</t>
  </si>
  <si>
    <t>09337078-0</t>
  </si>
  <si>
    <t>09532151-0</t>
  </si>
  <si>
    <t>92555529-0</t>
  </si>
  <si>
    <t>09502020-0</t>
  </si>
  <si>
    <t>92069312-0</t>
  </si>
  <si>
    <t>93213013-0</t>
  </si>
  <si>
    <t>93213008-0</t>
  </si>
  <si>
    <t>141-65</t>
  </si>
  <si>
    <t>93085603-0</t>
  </si>
  <si>
    <t>09552987-0</t>
  </si>
  <si>
    <t>09593387-0</t>
  </si>
  <si>
    <t>09504066-0</t>
  </si>
  <si>
    <t>09570120-0</t>
  </si>
  <si>
    <t>6105-1051</t>
  </si>
  <si>
    <t>93213011-0</t>
  </si>
  <si>
    <t>92096375-0</t>
  </si>
  <si>
    <t>92069463-0</t>
  </si>
  <si>
    <t>93057016-0</t>
  </si>
  <si>
    <t>93469001-0</t>
  </si>
  <si>
    <t>92067389-0</t>
  </si>
  <si>
    <t>09572132-0</t>
  </si>
  <si>
    <t>09530517-0</t>
  </si>
  <si>
    <t>09523183-0</t>
  </si>
  <si>
    <t>09526038-0</t>
  </si>
  <si>
    <t>06422201-0</t>
  </si>
  <si>
    <t>09530999-0</t>
  </si>
  <si>
    <t>92510475-0</t>
  </si>
  <si>
    <t>92067390-0</t>
  </si>
  <si>
    <t>92555556-0</t>
  </si>
  <si>
    <t>09552999-0</t>
  </si>
  <si>
    <t>09593700-0</t>
  </si>
  <si>
    <t>09533544-0</t>
  </si>
  <si>
    <t>92138083-0</t>
  </si>
  <si>
    <t>09549344-0</t>
  </si>
  <si>
    <t>92152050-0</t>
  </si>
  <si>
    <t>6107-1031</t>
  </si>
  <si>
    <t>501-20</t>
  </si>
  <si>
    <t>09505084-0</t>
  </si>
  <si>
    <t>09533553-0</t>
  </si>
  <si>
    <t>92099451-0</t>
  </si>
  <si>
    <t>93085607-0</t>
  </si>
  <si>
    <t>93085806-0</t>
  </si>
  <si>
    <t>09503126-0</t>
  </si>
  <si>
    <t>93085606-0</t>
  </si>
  <si>
    <t>92099414-0</t>
  </si>
  <si>
    <t>15055731-0</t>
  </si>
  <si>
    <t>92099409-0</t>
  </si>
  <si>
    <t>15055938-1</t>
  </si>
  <si>
    <t>92555785-0</t>
  </si>
  <si>
    <t>215-56</t>
  </si>
  <si>
    <t>92510366-0</t>
  </si>
  <si>
    <t>92555555-0</t>
  </si>
  <si>
    <t>131-199</t>
  </si>
  <si>
    <t>17904420-0</t>
  </si>
  <si>
    <t>09530195-0</t>
  </si>
  <si>
    <t>93360108-0</t>
  </si>
  <si>
    <t>09579068-0</t>
  </si>
  <si>
    <t>09530396-0</t>
  </si>
  <si>
    <t>R81322752631</t>
  </si>
  <si>
    <t>09531051-0</t>
  </si>
  <si>
    <t>09584204-0</t>
  </si>
  <si>
    <t>92137083-0</t>
  </si>
  <si>
    <t>09579069-0</t>
  </si>
  <si>
    <t>09503146-0</t>
  </si>
  <si>
    <t>09526468-0</t>
  </si>
  <si>
    <t>09505086-0</t>
  </si>
  <si>
    <t>09525600-0</t>
  </si>
  <si>
    <t>09531354-0</t>
  </si>
  <si>
    <t>09570126-0</t>
  </si>
  <si>
    <t>6105-0821</t>
  </si>
  <si>
    <t>H1SC06389-57-90</t>
  </si>
  <si>
    <t>H1SC06389-56-90</t>
  </si>
  <si>
    <t>R81322752611</t>
  </si>
  <si>
    <t>R81322752641</t>
  </si>
  <si>
    <t>09541521-0</t>
  </si>
  <si>
    <t>17950040-0</t>
  </si>
  <si>
    <t>09527161-0</t>
  </si>
  <si>
    <t>09514009-0</t>
  </si>
  <si>
    <t>09541558-0</t>
  </si>
  <si>
    <t>15051352-1</t>
  </si>
  <si>
    <t>09301742-0</t>
  </si>
  <si>
    <t>93213007-0</t>
  </si>
  <si>
    <t>93085602-0</t>
  </si>
  <si>
    <t>92153021-0</t>
  </si>
  <si>
    <t>09550130-0</t>
  </si>
  <si>
    <t>09593759-0</t>
  </si>
  <si>
    <t>09593634-0</t>
  </si>
  <si>
    <t>92331001-0</t>
  </si>
  <si>
    <t>09593386-0</t>
  </si>
  <si>
    <t>09593570-0</t>
  </si>
  <si>
    <t>09530434-0</t>
  </si>
  <si>
    <t>09518782-0</t>
  </si>
  <si>
    <t>09518632-0</t>
  </si>
  <si>
    <t>09518629-0</t>
  </si>
  <si>
    <t>09518787-0</t>
  </si>
  <si>
    <t>09518435-0</t>
  </si>
  <si>
    <t>09518440-0</t>
  </si>
  <si>
    <t>09518437-0</t>
  </si>
  <si>
    <t>09518631-0</t>
  </si>
  <si>
    <t>09518647-0</t>
  </si>
  <si>
    <t>09518800-0</t>
  </si>
  <si>
    <t>09518777-0</t>
  </si>
  <si>
    <t>09518803-0</t>
  </si>
  <si>
    <t>09518805-0</t>
  </si>
  <si>
    <t>09518806-0</t>
  </si>
  <si>
    <t>92067496-0</t>
  </si>
  <si>
    <t>09518812-0</t>
  </si>
  <si>
    <t>09518807-0</t>
  </si>
  <si>
    <t>09518399-0</t>
  </si>
  <si>
    <t>09518804-0</t>
  </si>
  <si>
    <t>09518776-0</t>
  </si>
  <si>
    <t>507-6</t>
  </si>
  <si>
    <t>7203-0722</t>
  </si>
  <si>
    <t>09572136-0</t>
  </si>
  <si>
    <t>09572137-0</t>
  </si>
  <si>
    <t>92096042-0</t>
  </si>
  <si>
    <t>92330229-0</t>
  </si>
  <si>
    <t>6267-0310</t>
  </si>
  <si>
    <t>09518703-0</t>
  </si>
  <si>
    <t>09518711-0</t>
  </si>
  <si>
    <t>09518675-0</t>
  </si>
  <si>
    <t>92137048-0</t>
  </si>
  <si>
    <t>09518788-0</t>
  </si>
  <si>
    <t>231-62</t>
  </si>
  <si>
    <t>09526426-0</t>
  </si>
  <si>
    <t>17901423-0</t>
  </si>
  <si>
    <t>09518736-0</t>
  </si>
  <si>
    <t>09518701-0</t>
  </si>
  <si>
    <t>09518793-0</t>
  </si>
  <si>
    <t>09541514-0</t>
  </si>
  <si>
    <t>09546621-0</t>
  </si>
  <si>
    <t>92330217-0</t>
  </si>
  <si>
    <t>92330219-0</t>
  </si>
  <si>
    <t>09530491-0</t>
  </si>
  <si>
    <t>92152075-0</t>
  </si>
  <si>
    <t>09541525-0</t>
  </si>
  <si>
    <t>09502058-0</t>
  </si>
  <si>
    <t>09504429-0</t>
  </si>
  <si>
    <t>09604022-0</t>
  </si>
  <si>
    <t>09546626-0</t>
  </si>
  <si>
    <t>92097387-0</t>
  </si>
  <si>
    <t>09503125-0</t>
  </si>
  <si>
    <t>15059364-SP</t>
  </si>
  <si>
    <t>17953132-0</t>
  </si>
  <si>
    <t>17953131-0</t>
  </si>
  <si>
    <t>09598226-0</t>
  </si>
  <si>
    <t>09593156-0</t>
  </si>
  <si>
    <t>09517458-0</t>
  </si>
  <si>
    <t>09518724-0</t>
  </si>
  <si>
    <t>09550103-0</t>
  </si>
  <si>
    <t>92097229-0</t>
  </si>
  <si>
    <t>09518700-0</t>
  </si>
  <si>
    <t>92137131-0</t>
  </si>
  <si>
    <t>09550023-0</t>
  </si>
  <si>
    <t>92138081-0</t>
  </si>
  <si>
    <t>92138050-0</t>
  </si>
  <si>
    <t>68-10</t>
  </si>
  <si>
    <t>92138079-0</t>
  </si>
  <si>
    <t>508-115</t>
  </si>
  <si>
    <t>09549606-0</t>
  </si>
  <si>
    <t>09546618-0</t>
  </si>
  <si>
    <t>09526416-0</t>
  </si>
  <si>
    <t>09526419-0</t>
  </si>
  <si>
    <t>09518645-0</t>
  </si>
  <si>
    <t>501-2</t>
  </si>
  <si>
    <t>09552962-0</t>
  </si>
  <si>
    <t>09531156-0</t>
  </si>
  <si>
    <t>70905-1</t>
  </si>
  <si>
    <t>09518811-0</t>
  </si>
  <si>
    <t>277-207</t>
  </si>
  <si>
    <t>09294139-0</t>
  </si>
  <si>
    <t>09518540-0</t>
  </si>
  <si>
    <t>09518444-0</t>
  </si>
  <si>
    <t>09518439-0</t>
  </si>
  <si>
    <t>92330054-0</t>
  </si>
  <si>
    <t>17950630-0</t>
  </si>
  <si>
    <t>09531007-0</t>
  </si>
  <si>
    <t>118-150</t>
  </si>
  <si>
    <t>451-17</t>
  </si>
  <si>
    <t>09572133-0</t>
  </si>
  <si>
    <t>451-18</t>
  </si>
  <si>
    <t>265-4</t>
  </si>
  <si>
    <t>09518240-0</t>
  </si>
  <si>
    <t>09544505-0</t>
  </si>
  <si>
    <t>09588022-0</t>
  </si>
  <si>
    <t>09518720-0</t>
  </si>
  <si>
    <t>451-19</t>
  </si>
  <si>
    <t>09572938-0</t>
  </si>
  <si>
    <t>09572508-0</t>
  </si>
  <si>
    <t>09534115-0</t>
  </si>
  <si>
    <t>17950978-0</t>
  </si>
  <si>
    <t>09534114-0</t>
  </si>
  <si>
    <t>17950974-0</t>
  </si>
  <si>
    <t>09534013-0</t>
  </si>
  <si>
    <t>17952254-0</t>
  </si>
  <si>
    <t>17952255-0</t>
  </si>
  <si>
    <t>17952260-0</t>
  </si>
  <si>
    <t>17952259-0</t>
  </si>
  <si>
    <t>15053245-1</t>
  </si>
  <si>
    <t>09534026-0</t>
  </si>
  <si>
    <t>92137158-0</t>
  </si>
  <si>
    <t>17950984-0</t>
  </si>
  <si>
    <t>09534142-0</t>
  </si>
  <si>
    <t>00030304-0</t>
  </si>
  <si>
    <t>17950972-0</t>
  </si>
  <si>
    <t>17950977-0</t>
  </si>
  <si>
    <t>17950996-0</t>
  </si>
  <si>
    <t>09534011-0</t>
  </si>
  <si>
    <t>17950995-0</t>
  </si>
  <si>
    <t>17950985-0</t>
  </si>
  <si>
    <t>17950989-2</t>
  </si>
  <si>
    <t>17950982-1</t>
  </si>
  <si>
    <t>92137079-0</t>
  </si>
  <si>
    <t>17950987-0</t>
  </si>
  <si>
    <t>17950988-0</t>
  </si>
  <si>
    <t>17951542-0</t>
  </si>
  <si>
    <t>17951543-0</t>
  </si>
  <si>
    <t>09534015-0</t>
  </si>
  <si>
    <t>17950973-0</t>
  </si>
  <si>
    <t>17950973-2</t>
  </si>
  <si>
    <t>17950970-0</t>
  </si>
  <si>
    <t>17950971-0</t>
  </si>
  <si>
    <t>00032008-0</t>
  </si>
  <si>
    <t>17952256-0</t>
  </si>
  <si>
    <t>17952257-0</t>
  </si>
  <si>
    <t>17950524-2</t>
  </si>
  <si>
    <t>17950525-1</t>
  </si>
  <si>
    <t>17952258-0</t>
  </si>
  <si>
    <t>17950523-0</t>
  </si>
  <si>
    <t>17950522-0</t>
  </si>
  <si>
    <t>501-11</t>
  </si>
  <si>
    <t>09518642-0</t>
  </si>
  <si>
    <t>277-262</t>
  </si>
  <si>
    <t>277-128</t>
  </si>
  <si>
    <t>09518358-0</t>
  </si>
  <si>
    <t>6105-0771</t>
  </si>
  <si>
    <t>09518283-0</t>
  </si>
  <si>
    <t>09526413-0</t>
  </si>
  <si>
    <t>92097307-0</t>
  </si>
  <si>
    <t>263-3</t>
  </si>
  <si>
    <t>262-3</t>
  </si>
  <si>
    <t>09546542-0</t>
  </si>
  <si>
    <t>09553002-0</t>
  </si>
  <si>
    <t>21-71</t>
  </si>
  <si>
    <t>09553000-0</t>
  </si>
  <si>
    <t>09596046-0</t>
  </si>
  <si>
    <t>09530443-0</t>
  </si>
  <si>
    <t>09553003-0</t>
  </si>
  <si>
    <t>09518766-0</t>
  </si>
  <si>
    <t>93491278-0</t>
  </si>
  <si>
    <t>92119016-0</t>
  </si>
  <si>
    <t>6613-0504</t>
  </si>
  <si>
    <t>6615-0504</t>
  </si>
  <si>
    <t>09549218-0</t>
  </si>
  <si>
    <t>15020044-0</t>
  </si>
  <si>
    <t>09571005-0</t>
  </si>
  <si>
    <t>09518143-0</t>
  </si>
  <si>
    <t>H1SC10051-150</t>
  </si>
  <si>
    <t>09594563-0</t>
  </si>
  <si>
    <t>H1SC10000-41</t>
  </si>
  <si>
    <t>7501-0728</t>
  </si>
  <si>
    <t>6413-0151</t>
  </si>
  <si>
    <t>92137088-0</t>
  </si>
  <si>
    <t>09552968-0</t>
  </si>
  <si>
    <t>09572090-0</t>
  </si>
  <si>
    <t>308-1</t>
  </si>
  <si>
    <t>6613-0505</t>
  </si>
  <si>
    <t>277-214</t>
  </si>
  <si>
    <t>09598126-0</t>
  </si>
  <si>
    <t>15055262-0</t>
  </si>
  <si>
    <t>09518456-0</t>
  </si>
  <si>
    <t>09552130-0</t>
  </si>
  <si>
    <t>17951283-0</t>
  </si>
  <si>
    <t>09534342-0</t>
  </si>
  <si>
    <t>277-170</t>
  </si>
  <si>
    <t>09518377-0</t>
  </si>
  <si>
    <t>09544648-0</t>
  </si>
  <si>
    <t>09570506-0</t>
  </si>
  <si>
    <t>508-10</t>
  </si>
  <si>
    <t>09518768-0</t>
  </si>
  <si>
    <t>09518810-0</t>
  </si>
  <si>
    <t>09518420-0</t>
  </si>
  <si>
    <t>09526415-0</t>
  </si>
  <si>
    <t>09546610-0</t>
  </si>
  <si>
    <t>09546535-0</t>
  </si>
  <si>
    <t>92097418-0</t>
  </si>
  <si>
    <t>15060342-0</t>
  </si>
  <si>
    <t>09570510-0</t>
  </si>
  <si>
    <t>09518458-0</t>
  </si>
  <si>
    <t>09518638-0</t>
  </si>
  <si>
    <t>09551009-0</t>
  </si>
  <si>
    <t>09540071-0</t>
  </si>
  <si>
    <t>09504192-0</t>
  </si>
  <si>
    <t>92137153-0</t>
  </si>
  <si>
    <t>09501146-0</t>
  </si>
  <si>
    <t>00006007-0</t>
  </si>
  <si>
    <t>17951246-0</t>
  </si>
  <si>
    <t>09534132-0</t>
  </si>
  <si>
    <t>17951243-0</t>
  </si>
  <si>
    <t>92137122-0</t>
  </si>
  <si>
    <t>93210211-0</t>
  </si>
  <si>
    <t>17951244-0</t>
  </si>
  <si>
    <t>17951223-0</t>
  </si>
  <si>
    <t>17951248-0</t>
  </si>
  <si>
    <t>09534118-0</t>
  </si>
  <si>
    <t>17951247-0</t>
  </si>
  <si>
    <t>09534216-0</t>
  </si>
  <si>
    <t>17951251-0</t>
  </si>
  <si>
    <t>17951252-0</t>
  </si>
  <si>
    <t>09518842-0</t>
  </si>
  <si>
    <t>17951201-0</t>
  </si>
  <si>
    <t>17951253-0</t>
  </si>
  <si>
    <t>17953591-0</t>
  </si>
  <si>
    <t>17951239-0</t>
  </si>
  <si>
    <t>92137161-0</t>
  </si>
  <si>
    <t>17951236-0</t>
  </si>
  <si>
    <t>17951234-1</t>
  </si>
  <si>
    <t>17951228-0</t>
  </si>
  <si>
    <t>17951229-0</t>
  </si>
  <si>
    <t>17951230-0</t>
  </si>
  <si>
    <t>17951232-0</t>
  </si>
  <si>
    <t>17951233-0</t>
  </si>
  <si>
    <t>17951987-0</t>
  </si>
  <si>
    <t>17951206-0</t>
  </si>
  <si>
    <t>09552994-0</t>
  </si>
  <si>
    <t>09553001-0</t>
  </si>
  <si>
    <t>09552969-0</t>
  </si>
  <si>
    <t>09544438-0</t>
  </si>
  <si>
    <t>92137091-0</t>
  </si>
  <si>
    <t>H1SC12001-33</t>
  </si>
  <si>
    <t>H1SC12001-35</t>
  </si>
  <si>
    <t>09572224-0</t>
  </si>
  <si>
    <t>09552993-0</t>
  </si>
  <si>
    <t>09587869-0</t>
  </si>
  <si>
    <t>92097272-0</t>
  </si>
  <si>
    <t>09598127-0</t>
  </si>
  <si>
    <t>09517314-0</t>
  </si>
  <si>
    <t>92137054-0</t>
  </si>
  <si>
    <t>15055246-0</t>
  </si>
  <si>
    <t>15055266-0</t>
  </si>
  <si>
    <t>09520120-0</t>
  </si>
  <si>
    <t>09544366-0</t>
  </si>
  <si>
    <t>263-4</t>
  </si>
  <si>
    <t>09518306-0</t>
  </si>
  <si>
    <t>09518280-0</t>
  </si>
  <si>
    <t>09552992-0</t>
  </si>
  <si>
    <t>15055245-0</t>
  </si>
  <si>
    <t>09518301-0</t>
  </si>
  <si>
    <t>15055247-0</t>
  </si>
  <si>
    <t>09584211-0</t>
  </si>
  <si>
    <t>09546534-0</t>
  </si>
  <si>
    <t>15052928-1</t>
  </si>
  <si>
    <t>09546541-0</t>
  </si>
  <si>
    <t>92067435-0</t>
  </si>
  <si>
    <t>92097523-0</t>
  </si>
  <si>
    <t>92097227-0</t>
  </si>
  <si>
    <t>09531200-0</t>
  </si>
  <si>
    <t>15050426-0</t>
  </si>
  <si>
    <t>H2SC10000-38</t>
  </si>
  <si>
    <t>09518295-0</t>
  </si>
  <si>
    <t>09518281-0</t>
  </si>
  <si>
    <t>H1SC10002-637</t>
  </si>
  <si>
    <t>6611-2112</t>
  </si>
  <si>
    <t>09572956-0</t>
  </si>
  <si>
    <t>09571012-0</t>
  </si>
  <si>
    <t>09505042-0</t>
  </si>
  <si>
    <t>09505083-0</t>
  </si>
  <si>
    <t>05300008-0</t>
  </si>
  <si>
    <t>09501175-0</t>
  </si>
  <si>
    <t>09520219-0</t>
  </si>
  <si>
    <t>09544274-0</t>
  </si>
  <si>
    <t>09531404-0</t>
  </si>
  <si>
    <t>6756-0051</t>
  </si>
  <si>
    <t>93140002-0</t>
  </si>
  <si>
    <t>09602011-0</t>
  </si>
  <si>
    <t>09602010-0</t>
  </si>
  <si>
    <t>R414000430407</t>
  </si>
  <si>
    <t>09544420-0</t>
  </si>
  <si>
    <t>92069311-0</t>
  </si>
  <si>
    <t>93565199-0</t>
  </si>
  <si>
    <t>93403173-0</t>
  </si>
  <si>
    <t>09526528-0</t>
  </si>
  <si>
    <t>09526610-0</t>
  </si>
  <si>
    <t>92099449-0</t>
  </si>
  <si>
    <t>09530479-0</t>
  </si>
  <si>
    <t>09530425-0</t>
  </si>
  <si>
    <t>93086204-0</t>
  </si>
  <si>
    <t>09532600-0</t>
  </si>
  <si>
    <t>92781161-0</t>
  </si>
  <si>
    <t>09526478-0</t>
  </si>
  <si>
    <t>92138118-0</t>
  </si>
  <si>
    <t>92099370-0</t>
  </si>
  <si>
    <t>09518535-0</t>
  </si>
  <si>
    <t>09518784-0</t>
  </si>
  <si>
    <t>09518821-0</t>
  </si>
  <si>
    <t>09518820-0</t>
  </si>
  <si>
    <t>09518783-0</t>
  </si>
  <si>
    <t>09572532-0</t>
  </si>
  <si>
    <t>09544504-0</t>
  </si>
  <si>
    <t>09518753-0</t>
  </si>
  <si>
    <t>09588009-0</t>
  </si>
  <si>
    <t>93360010-0</t>
  </si>
  <si>
    <t>92097382-0</t>
  </si>
  <si>
    <t>09570176-0</t>
  </si>
  <si>
    <t>09570169-0</t>
  </si>
  <si>
    <t>09504035-0</t>
  </si>
  <si>
    <t>09518415-0</t>
  </si>
  <si>
    <t>93156206-0</t>
  </si>
  <si>
    <t>93056058-0</t>
  </si>
  <si>
    <t>6856-0157</t>
  </si>
  <si>
    <t>6235-1516</t>
  </si>
  <si>
    <t>92119178-0</t>
  </si>
  <si>
    <t>92119167-0</t>
  </si>
  <si>
    <t>92119175-0</t>
  </si>
  <si>
    <t>92097486-0</t>
  </si>
  <si>
    <t>6113-0971</t>
  </si>
  <si>
    <t>09530012-0</t>
  </si>
  <si>
    <t>92069310-0</t>
  </si>
  <si>
    <t>6853-0416</t>
  </si>
  <si>
    <t>92138116-0</t>
  </si>
  <si>
    <t>92140594-0</t>
  </si>
  <si>
    <t>09504052-0</t>
  </si>
  <si>
    <t>92152016-0</t>
  </si>
  <si>
    <t>09526469-0</t>
  </si>
  <si>
    <t>09596060-0</t>
  </si>
  <si>
    <t>H1SC06000-31</t>
  </si>
  <si>
    <t>H1H106002-135</t>
  </si>
  <si>
    <t>92097313-0</t>
  </si>
  <si>
    <t>09544545-0</t>
  </si>
  <si>
    <t>09570380-0</t>
  </si>
  <si>
    <t>H1H106002-56</t>
  </si>
  <si>
    <t>09514837-0</t>
  </si>
  <si>
    <t>H1SC06001-111</t>
  </si>
  <si>
    <t>H1SC06002-194</t>
  </si>
  <si>
    <t>51-66</t>
  </si>
  <si>
    <t>92067311-0</t>
  </si>
  <si>
    <t>09549394-0</t>
  </si>
  <si>
    <t>H1SC06006-86</t>
  </si>
  <si>
    <t>H1SC06006-87</t>
  </si>
  <si>
    <t>H1SC06006-81</t>
  </si>
  <si>
    <t>H1H406006-95</t>
  </si>
  <si>
    <t>92330032-0</t>
  </si>
  <si>
    <t>09572177-0</t>
  </si>
  <si>
    <t>09572178-0</t>
  </si>
  <si>
    <t>09572172-0</t>
  </si>
  <si>
    <t>09572173-0</t>
  </si>
  <si>
    <t>09518134-0</t>
  </si>
  <si>
    <t>09572183-0</t>
  </si>
  <si>
    <t>09572182-0</t>
  </si>
  <si>
    <t>09549395-0</t>
  </si>
  <si>
    <t>H1SC06051-93-212</t>
  </si>
  <si>
    <t>09549260-0</t>
  </si>
  <si>
    <t>09518626-0</t>
  </si>
  <si>
    <t>09572186-0</t>
  </si>
  <si>
    <t>09572187-0</t>
  </si>
  <si>
    <t>09518869-0</t>
  </si>
  <si>
    <t>09518118-0</t>
  </si>
  <si>
    <t>92137118-0</t>
  </si>
  <si>
    <t>09579055-0</t>
  </si>
  <si>
    <t>09526509-0</t>
  </si>
  <si>
    <t>31-249</t>
  </si>
  <si>
    <t>31-258</t>
  </si>
  <si>
    <t>09579071-0</t>
  </si>
  <si>
    <t>09530417-0</t>
  </si>
  <si>
    <t>92330169-0</t>
  </si>
  <si>
    <t>92330999-0</t>
  </si>
  <si>
    <t>09504005-0</t>
  </si>
  <si>
    <t>09531327-0</t>
  </si>
  <si>
    <t>09531369-0</t>
  </si>
  <si>
    <t>663-71</t>
  </si>
  <si>
    <t>433-2</t>
  </si>
  <si>
    <t>433-105</t>
  </si>
  <si>
    <t>92331190-0</t>
  </si>
  <si>
    <t>93056010-0</t>
  </si>
  <si>
    <t>93285505-0</t>
  </si>
  <si>
    <t>09503038-0</t>
  </si>
  <si>
    <t>15064009-0</t>
  </si>
  <si>
    <t>09530381-0</t>
  </si>
  <si>
    <t>92137121-0</t>
  </si>
  <si>
    <t>92331454-0</t>
  </si>
  <si>
    <t>09302362-0</t>
  </si>
  <si>
    <t>09602316-0</t>
  </si>
  <si>
    <t>09530506-0</t>
  </si>
  <si>
    <t>93300506-0</t>
  </si>
  <si>
    <t>6133-2064</t>
  </si>
  <si>
    <t>09531114-0</t>
  </si>
  <si>
    <t>93057010-0</t>
  </si>
  <si>
    <t>92099262-0</t>
  </si>
  <si>
    <t>93300606-0</t>
  </si>
  <si>
    <t>92099270-0</t>
  </si>
  <si>
    <t>09532439-0</t>
  </si>
  <si>
    <t>504-4</t>
  </si>
  <si>
    <t>92330015-0</t>
  </si>
  <si>
    <t>92330016-0</t>
  </si>
  <si>
    <t>09546622-0</t>
  </si>
  <si>
    <t>09531107-0</t>
  </si>
  <si>
    <t>09596034-0</t>
  </si>
  <si>
    <t>09530476-0</t>
  </si>
  <si>
    <t>09584145-0</t>
  </si>
  <si>
    <t>92495144-0</t>
  </si>
  <si>
    <t>92495166-0</t>
  </si>
  <si>
    <t>134-76</t>
  </si>
  <si>
    <t>30-14</t>
  </si>
  <si>
    <t>09503036-0</t>
  </si>
  <si>
    <t>09503036-1</t>
  </si>
  <si>
    <t>193-8</t>
  </si>
  <si>
    <t>134-44</t>
  </si>
  <si>
    <t>17953516-0</t>
  </si>
  <si>
    <t>09504056-0</t>
  </si>
  <si>
    <t>287-68</t>
  </si>
  <si>
    <t>09530416-0</t>
  </si>
  <si>
    <t>92550008-0</t>
  </si>
  <si>
    <t>92331008-0</t>
  </si>
  <si>
    <t>92330017-0</t>
  </si>
  <si>
    <t>09302530-0</t>
  </si>
  <si>
    <t>09531320-0</t>
  </si>
  <si>
    <t>92137084-0</t>
  </si>
  <si>
    <t>09523187-0</t>
  </si>
  <si>
    <t>09505089-0</t>
  </si>
  <si>
    <t>92153015-0</t>
  </si>
  <si>
    <t>92153067-0</t>
  </si>
  <si>
    <t>09504101-0</t>
  </si>
  <si>
    <t>09504100-0</t>
  </si>
  <si>
    <t>93077055-0</t>
  </si>
  <si>
    <t>09532106-0</t>
  </si>
  <si>
    <t>09526650-0</t>
  </si>
  <si>
    <t>09505090-0</t>
  </si>
  <si>
    <t>09530494-0</t>
  </si>
  <si>
    <t>09584102-0</t>
  </si>
  <si>
    <t>93040002-0</t>
  </si>
  <si>
    <t>09532107-0</t>
  </si>
  <si>
    <t>92153053-0</t>
  </si>
  <si>
    <t>09504084-0</t>
  </si>
  <si>
    <t>09530987-0</t>
  </si>
  <si>
    <t>7203-4111</t>
  </si>
  <si>
    <t>92153054-0</t>
  </si>
  <si>
    <t>31-253</t>
  </si>
  <si>
    <t>31-252</t>
  </si>
  <si>
    <t>737-10</t>
  </si>
  <si>
    <t>09302552-0</t>
  </si>
  <si>
    <t>09302551-0</t>
  </si>
  <si>
    <t>220-289</t>
  </si>
  <si>
    <t>132-42</t>
  </si>
  <si>
    <t>09530492-0</t>
  </si>
  <si>
    <t>93212005-0</t>
  </si>
  <si>
    <t>09526640-0</t>
  </si>
  <si>
    <t>09596052-0</t>
  </si>
  <si>
    <t>09531365-0</t>
  </si>
  <si>
    <t>09531367-0</t>
  </si>
  <si>
    <t>09531363-0</t>
  </si>
  <si>
    <t>129-6</t>
  </si>
  <si>
    <t>220-335</t>
  </si>
  <si>
    <t>220-336</t>
  </si>
  <si>
    <t>09531043-0</t>
  </si>
  <si>
    <t>134-45</t>
  </si>
  <si>
    <t>09526641-0</t>
  </si>
  <si>
    <t>220-225</t>
  </si>
  <si>
    <t>09526643-0</t>
  </si>
  <si>
    <t>92890216-0</t>
  </si>
  <si>
    <t>09546574-0</t>
  </si>
  <si>
    <t>09337914-0</t>
  </si>
  <si>
    <t>09546698-0</t>
  </si>
  <si>
    <t>09526422-0</t>
  </si>
  <si>
    <t>844-403</t>
  </si>
  <si>
    <t>92152049-0</t>
  </si>
  <si>
    <t>09301669-0</t>
  </si>
  <si>
    <t>09584053-0</t>
  </si>
  <si>
    <t>09531479-0</t>
  </si>
  <si>
    <t>09584413-0</t>
  </si>
  <si>
    <t>09584412-0</t>
  </si>
  <si>
    <t>92555534-0</t>
  </si>
  <si>
    <t>92811063-0</t>
  </si>
  <si>
    <t>93491375-0</t>
  </si>
  <si>
    <t>09531315-0</t>
  </si>
  <si>
    <t>09301303-0</t>
  </si>
  <si>
    <t>09304314-0</t>
  </si>
  <si>
    <t>7203-0719</t>
  </si>
  <si>
    <t>09584028-0</t>
  </si>
  <si>
    <t>09337440-0</t>
  </si>
  <si>
    <t>09302070-0</t>
  </si>
  <si>
    <t>09353361-0</t>
  </si>
  <si>
    <t>134-55</t>
  </si>
  <si>
    <t>09520316-0</t>
  </si>
  <si>
    <t>09530358-0</t>
  </si>
  <si>
    <t>09302377-0</t>
  </si>
  <si>
    <t>09302494-0</t>
  </si>
  <si>
    <t>09302493-0</t>
  </si>
  <si>
    <t>09302485-0</t>
  </si>
  <si>
    <t>09302488-0</t>
  </si>
  <si>
    <t>09302495-0</t>
  </si>
  <si>
    <t>09302491-0</t>
  </si>
  <si>
    <t>09302487-0</t>
  </si>
  <si>
    <t>09302492-0</t>
  </si>
  <si>
    <t>09302486-0</t>
  </si>
  <si>
    <t>09302489-0</t>
  </si>
  <si>
    <t>09302490-0</t>
  </si>
  <si>
    <t>09302066-0</t>
  </si>
  <si>
    <t>09302062-0</t>
  </si>
  <si>
    <t>09302052-0</t>
  </si>
  <si>
    <t>288-7</t>
  </si>
  <si>
    <t>92137126-0</t>
  </si>
  <si>
    <t>93225114-0</t>
  </si>
  <si>
    <t>836-8</t>
  </si>
  <si>
    <t>4505-298</t>
  </si>
  <si>
    <t>4505-297</t>
  </si>
  <si>
    <t>09340027-0</t>
  </si>
  <si>
    <t>09505965-0</t>
  </si>
  <si>
    <t>09503147-0</t>
  </si>
  <si>
    <t>09596037-0</t>
  </si>
  <si>
    <t>92331016-0</t>
  </si>
  <si>
    <t>09530420-0</t>
  </si>
  <si>
    <t>192-23</t>
  </si>
  <si>
    <t>09304013-0</t>
  </si>
  <si>
    <t>92139850-0</t>
  </si>
  <si>
    <t>09570127-0</t>
  </si>
  <si>
    <t>6601-1322</t>
  </si>
  <si>
    <t>H1H110056-100</t>
  </si>
  <si>
    <t>H1H408055-120</t>
  </si>
  <si>
    <t>H1H408055-110</t>
  </si>
  <si>
    <t>H1H408055-105</t>
  </si>
  <si>
    <t>H1H406006-108</t>
  </si>
  <si>
    <t>H1H408055-70</t>
  </si>
  <si>
    <t>H1H408055-55</t>
  </si>
  <si>
    <t>H1H406006-60</t>
  </si>
  <si>
    <t>H1H110056-45</t>
  </si>
  <si>
    <t>92153063-0</t>
  </si>
  <si>
    <t>101-75</t>
  </si>
  <si>
    <t>09532805-0</t>
  </si>
  <si>
    <t>09532807-0</t>
  </si>
  <si>
    <t>09532808-0</t>
  </si>
  <si>
    <t>09532809-0</t>
  </si>
  <si>
    <t>09532810-0</t>
  </si>
  <si>
    <t>09532811-0</t>
  </si>
  <si>
    <t>09532812-0</t>
  </si>
  <si>
    <t>09532813-0</t>
  </si>
  <si>
    <t>09532814-0</t>
  </si>
  <si>
    <t>09532815-0</t>
  </si>
  <si>
    <t>09532816-0</t>
  </si>
  <si>
    <t>09532817-0</t>
  </si>
  <si>
    <t>09532818-0</t>
  </si>
  <si>
    <t>09532819-0</t>
  </si>
  <si>
    <t>09532820-0</t>
  </si>
  <si>
    <t>09532806-0</t>
  </si>
  <si>
    <t>09532821-0</t>
  </si>
  <si>
    <t>09532822-0</t>
  </si>
  <si>
    <t>09532823-0</t>
  </si>
  <si>
    <t>09532824-0</t>
  </si>
  <si>
    <t>09532825-0</t>
  </si>
  <si>
    <t>93281004-0</t>
  </si>
  <si>
    <t>09532803-0</t>
  </si>
  <si>
    <t>09532801-0</t>
  </si>
  <si>
    <t>92154051-0</t>
  </si>
  <si>
    <t>93085654-0</t>
  </si>
  <si>
    <t>93213109-0</t>
  </si>
  <si>
    <t>09526644-0</t>
  </si>
  <si>
    <t>09531004-0</t>
  </si>
  <si>
    <t>193-12</t>
  </si>
  <si>
    <t>09531364-0</t>
  </si>
  <si>
    <t>17950852-0</t>
  </si>
  <si>
    <t>09526464-0</t>
  </si>
  <si>
    <t>09526467-0</t>
  </si>
  <si>
    <t>09349048-0</t>
  </si>
  <si>
    <t>09324815-0</t>
  </si>
  <si>
    <t>6122-2028</t>
  </si>
  <si>
    <t>92137047-0</t>
  </si>
  <si>
    <t>6476-1010</t>
  </si>
  <si>
    <t>09316245-0</t>
  </si>
  <si>
    <t>09606053-0</t>
  </si>
  <si>
    <t>09606054-0</t>
  </si>
  <si>
    <t>7125-0072</t>
  </si>
  <si>
    <t>09535280-0</t>
  </si>
  <si>
    <t>09535281-0</t>
  </si>
  <si>
    <t>09549115-0</t>
  </si>
  <si>
    <t>09549118-0</t>
  </si>
  <si>
    <t>09526604-0</t>
  </si>
  <si>
    <t>92097421-0</t>
  </si>
  <si>
    <t>93545282-0</t>
  </si>
  <si>
    <t>09549158-0</t>
  </si>
  <si>
    <t>09602332-0</t>
  </si>
  <si>
    <t>09314364-0</t>
  </si>
  <si>
    <t>09567332-0</t>
  </si>
  <si>
    <t>09567335-0</t>
  </si>
  <si>
    <t>09567336-0</t>
  </si>
  <si>
    <t>09530964-0</t>
  </si>
  <si>
    <t>92153057-0</t>
  </si>
  <si>
    <t>09518813-0</t>
  </si>
  <si>
    <t>7503-1435</t>
  </si>
  <si>
    <t>92099263-0</t>
  </si>
  <si>
    <t>508-12</t>
  </si>
  <si>
    <t>09549163-0</t>
  </si>
  <si>
    <t>09572141-0</t>
  </si>
  <si>
    <t>6601-1342</t>
  </si>
  <si>
    <t>09571076-0</t>
  </si>
  <si>
    <t>92137042-0</t>
  </si>
  <si>
    <t>H2H340346-40</t>
  </si>
  <si>
    <t>09518751-0</t>
  </si>
  <si>
    <t>92782050-0</t>
  </si>
  <si>
    <t>92138158-0</t>
  </si>
  <si>
    <t>09582227-0</t>
  </si>
  <si>
    <t>09582206-0</t>
  </si>
  <si>
    <t>92135025-0</t>
  </si>
  <si>
    <t>09504346-0</t>
  </si>
  <si>
    <t>92137085-0</t>
  </si>
  <si>
    <t>92138196-0</t>
  </si>
  <si>
    <t>6601-1346</t>
  </si>
  <si>
    <t>09571227-0</t>
  </si>
  <si>
    <t>09552173-0</t>
  </si>
  <si>
    <t>6601-1337</t>
  </si>
  <si>
    <t>59-31</t>
  </si>
  <si>
    <t>09316409-0</t>
  </si>
  <si>
    <t>09544461-0</t>
  </si>
  <si>
    <t>09571327-0</t>
  </si>
  <si>
    <t>09570236-0</t>
  </si>
  <si>
    <t>09582222-0</t>
  </si>
  <si>
    <t>09534120-0</t>
  </si>
  <si>
    <t>92137195-0</t>
  </si>
  <si>
    <t>09582179-0</t>
  </si>
  <si>
    <t>09570143-0</t>
  </si>
  <si>
    <t>09570048-0</t>
  </si>
  <si>
    <t>09571324-0</t>
  </si>
  <si>
    <t>6615-0508</t>
  </si>
  <si>
    <t>6615-2323</t>
  </si>
  <si>
    <t>09544841-0</t>
  </si>
  <si>
    <t>09570131-0</t>
  </si>
  <si>
    <t>92555538-0</t>
  </si>
  <si>
    <t>09549439-0</t>
  </si>
  <si>
    <t>09571323-0</t>
  </si>
  <si>
    <t>6476-0559</t>
  </si>
  <si>
    <t>09549384-0</t>
  </si>
  <si>
    <t>09571049-0</t>
  </si>
  <si>
    <t>09549400-0</t>
  </si>
  <si>
    <t>51-69</t>
  </si>
  <si>
    <t>09570108-0</t>
  </si>
  <si>
    <t>09570128-0</t>
  </si>
  <si>
    <t>92069390-0</t>
  </si>
  <si>
    <t>H2H325033-90-20</t>
  </si>
  <si>
    <t>H2H325033-65-351</t>
  </si>
  <si>
    <t>H2H325033-68-303</t>
  </si>
  <si>
    <t>92119032-0</t>
  </si>
  <si>
    <t>09582964-0</t>
  </si>
  <si>
    <t>09544068-0</t>
  </si>
  <si>
    <t>09571089-0</t>
  </si>
  <si>
    <t>H2H325009-109</t>
  </si>
  <si>
    <t>92097484-0</t>
  </si>
  <si>
    <t>93699713-0</t>
  </si>
  <si>
    <t>09549223-0</t>
  </si>
  <si>
    <t>51-68</t>
  </si>
  <si>
    <t>09549385-0</t>
  </si>
  <si>
    <t>92555564-0</t>
  </si>
  <si>
    <t>92555562-0</t>
  </si>
  <si>
    <t>92136213-0</t>
  </si>
  <si>
    <t>H1H108002-88</t>
  </si>
  <si>
    <t>H1H108027-58-245</t>
  </si>
  <si>
    <t>125-153</t>
  </si>
  <si>
    <t>6601-1326</t>
  </si>
  <si>
    <t>09549393-0</t>
  </si>
  <si>
    <t>H2H325033-65-322</t>
  </si>
  <si>
    <t>09582963-0</t>
  </si>
  <si>
    <t>92083041-0</t>
  </si>
  <si>
    <t>09570435-0</t>
  </si>
  <si>
    <t>6613-0506</t>
  </si>
  <si>
    <t>09571329-0</t>
  </si>
  <si>
    <t>6615-2320</t>
  </si>
  <si>
    <t>09544271-0</t>
  </si>
  <si>
    <t>09544118-0</t>
  </si>
  <si>
    <t>09544501-0</t>
  </si>
  <si>
    <t>09572125-0</t>
  </si>
  <si>
    <t>09570015-0</t>
  </si>
  <si>
    <t>09591201-0</t>
  </si>
  <si>
    <t>09588011-0</t>
  </si>
  <si>
    <t>09587352-0</t>
  </si>
  <si>
    <t>09591101-0</t>
  </si>
  <si>
    <t>09587243-0</t>
  </si>
  <si>
    <t>09587353-0</t>
  </si>
  <si>
    <t>09587220-0</t>
  </si>
  <si>
    <t>09587354-0</t>
  </si>
  <si>
    <t>09587219-0</t>
  </si>
  <si>
    <t>09591102-0</t>
  </si>
  <si>
    <t>09588010-0</t>
  </si>
  <si>
    <t>09589047-0</t>
  </si>
  <si>
    <t>09590070-0</t>
  </si>
  <si>
    <t>09310238-0</t>
  </si>
  <si>
    <t>09310239-0</t>
  </si>
  <si>
    <t>09310244-0</t>
  </si>
  <si>
    <t>09518205-0</t>
  </si>
  <si>
    <t>09589042-0</t>
  </si>
  <si>
    <t>09552215-0</t>
  </si>
  <si>
    <t>09587244-0</t>
  </si>
  <si>
    <t>09587249-0</t>
  </si>
  <si>
    <t>09587247-0</t>
  </si>
  <si>
    <t>09587246-0</t>
  </si>
  <si>
    <t>09587251-0</t>
  </si>
  <si>
    <t>09588507-0</t>
  </si>
  <si>
    <t>17951522-0</t>
  </si>
  <si>
    <t>09587261-0</t>
  </si>
  <si>
    <t>17954205-0</t>
  </si>
  <si>
    <t>09587262-0</t>
  </si>
  <si>
    <t>09587263-0</t>
  </si>
  <si>
    <t>09587245-0</t>
  </si>
  <si>
    <t>09588509-0</t>
  </si>
  <si>
    <t>09587248-0</t>
  </si>
  <si>
    <t>09588508-0</t>
  </si>
  <si>
    <t>09589048-0</t>
  </si>
  <si>
    <t>09588513-0</t>
  </si>
  <si>
    <t>09588512-0</t>
  </si>
  <si>
    <t>09588511-0</t>
  </si>
  <si>
    <t>09588514-0</t>
  </si>
  <si>
    <t>09589049-0</t>
  </si>
  <si>
    <t>09587250-0</t>
  </si>
  <si>
    <t>09588510-0</t>
  </si>
  <si>
    <t>09588515-0</t>
  </si>
  <si>
    <t>09316326-0</t>
  </si>
  <si>
    <t>09588012-0</t>
  </si>
  <si>
    <t>09544498-0</t>
  </si>
  <si>
    <t>09544506-0</t>
  </si>
  <si>
    <t>09549117-0</t>
  </si>
  <si>
    <t>09544507-0</t>
  </si>
  <si>
    <t>09570224-0</t>
  </si>
  <si>
    <t>09546739-0</t>
  </si>
  <si>
    <t>09572176-0</t>
  </si>
  <si>
    <t>09572175-0</t>
  </si>
  <si>
    <t>09572170-0</t>
  </si>
  <si>
    <t>09572174-0</t>
  </si>
  <si>
    <t>09572171-0</t>
  </si>
  <si>
    <t>09572179-0</t>
  </si>
  <si>
    <t>135-133</t>
  </si>
  <si>
    <t>135-230</t>
  </si>
  <si>
    <t>09300523-0</t>
  </si>
  <si>
    <t>09300518-0</t>
  </si>
  <si>
    <t>92137044-0</t>
  </si>
  <si>
    <t>09300538-0</t>
  </si>
  <si>
    <t>09314604-0</t>
  </si>
  <si>
    <t>09340525-0</t>
  </si>
  <si>
    <t>09314599-0</t>
  </si>
  <si>
    <t>09314360-0</t>
  </si>
  <si>
    <t>09301896-0</t>
  </si>
  <si>
    <t>09302358-0</t>
  </si>
  <si>
    <t>09301953-0</t>
  </si>
  <si>
    <t>09300091-0</t>
  </si>
  <si>
    <t>09300092-0</t>
  </si>
  <si>
    <t>09300093-0</t>
  </si>
  <si>
    <t>09300094-0</t>
  </si>
  <si>
    <t>09300095-0</t>
  </si>
  <si>
    <t>09300096-0</t>
  </si>
  <si>
    <t>09300182-0</t>
  </si>
  <si>
    <t>09306077-0</t>
  </si>
  <si>
    <t>09306095-0</t>
  </si>
  <si>
    <t>09531330-0</t>
  </si>
  <si>
    <t>92138042-0</t>
  </si>
  <si>
    <t>09549944-0</t>
  </si>
  <si>
    <t>92138047-0</t>
  </si>
  <si>
    <t>92138003-0</t>
  </si>
  <si>
    <t>92138041-0</t>
  </si>
  <si>
    <t>134-57</t>
  </si>
  <si>
    <t>09314578-0</t>
  </si>
  <si>
    <t>09304037-0</t>
  </si>
  <si>
    <t>09340039-0</t>
  </si>
  <si>
    <t>09301817-0</t>
  </si>
  <si>
    <t>30-184</t>
  </si>
  <si>
    <t>09337071-0</t>
  </si>
  <si>
    <t>93300405-0</t>
  </si>
  <si>
    <t>193-23</t>
  </si>
  <si>
    <t>193-25</t>
  </si>
  <si>
    <t>92097269-0</t>
  </si>
  <si>
    <t>193-3</t>
  </si>
  <si>
    <t>09504078-0</t>
  </si>
  <si>
    <t>09306076-0</t>
  </si>
  <si>
    <t>09306090-0</t>
  </si>
  <si>
    <t>09302411-0</t>
  </si>
  <si>
    <t>09302408-0</t>
  </si>
  <si>
    <t>09365025-0</t>
  </si>
  <si>
    <t>09365026-0</t>
  </si>
  <si>
    <t>30-269</t>
  </si>
  <si>
    <t>09365028-0</t>
  </si>
  <si>
    <t>09302525-0</t>
  </si>
  <si>
    <t>09532440-0</t>
  </si>
  <si>
    <t>92099305-0</t>
  </si>
  <si>
    <t>09549412-0</t>
  </si>
  <si>
    <t>09304092-0</t>
  </si>
  <si>
    <t>09304091-0</t>
  </si>
  <si>
    <t>09304094-0</t>
  </si>
  <si>
    <t>09302480-0</t>
  </si>
  <si>
    <t>09304088-0</t>
  </si>
  <si>
    <t>09304087-0</t>
  </si>
  <si>
    <t>09340044-0</t>
  </si>
  <si>
    <t>09526615-0</t>
  </si>
  <si>
    <t>460-40</t>
  </si>
  <si>
    <t>746-13</t>
  </si>
  <si>
    <t>746-14</t>
  </si>
  <si>
    <t>746-16</t>
  </si>
  <si>
    <t>93692002-0</t>
  </si>
  <si>
    <t>93692003-0</t>
  </si>
  <si>
    <t>93692001-0</t>
  </si>
  <si>
    <t>93692023-0</t>
  </si>
  <si>
    <t>93692024-0</t>
  </si>
  <si>
    <t>09410300-0</t>
  </si>
  <si>
    <t>93692025-0</t>
  </si>
  <si>
    <t>93692011-0</t>
  </si>
  <si>
    <t>93692012-0</t>
  </si>
  <si>
    <t>93692013-0</t>
  </si>
  <si>
    <t>93692014-0</t>
  </si>
  <si>
    <t>93692015-0</t>
  </si>
  <si>
    <t>93692016-0</t>
  </si>
  <si>
    <t>93692017-0</t>
  </si>
  <si>
    <t>93692018-0</t>
  </si>
  <si>
    <t>93692019-0</t>
  </si>
  <si>
    <t>93692020-0</t>
  </si>
  <si>
    <t>93692021-0</t>
  </si>
  <si>
    <t>93692022-0</t>
  </si>
  <si>
    <t>E68500019</t>
  </si>
  <si>
    <t>93692004-0</t>
  </si>
  <si>
    <t>93692005-0</t>
  </si>
  <si>
    <t>93692006-0</t>
  </si>
  <si>
    <t>93692007-0</t>
  </si>
  <si>
    <t>93692008-0</t>
  </si>
  <si>
    <t>93692009-0</t>
  </si>
  <si>
    <t>93692010-0</t>
  </si>
  <si>
    <t>09526240-0</t>
  </si>
  <si>
    <t>09532063-0</t>
  </si>
  <si>
    <t>09530959-0</t>
  </si>
  <si>
    <t>R81322901201</t>
  </si>
  <si>
    <t>192-8</t>
  </si>
  <si>
    <t>09530093-0</t>
  </si>
  <si>
    <t>15321935-0</t>
  </si>
  <si>
    <t>15050076-0</t>
  </si>
  <si>
    <t>R81322960221</t>
  </si>
  <si>
    <t>09203006-0</t>
  </si>
  <si>
    <t>09300172-0</t>
  </si>
  <si>
    <t>23-18</t>
  </si>
  <si>
    <t>92135067-0</t>
  </si>
  <si>
    <t>211-37</t>
  </si>
  <si>
    <t>287-81</t>
  </si>
  <si>
    <t>193-1</t>
  </si>
  <si>
    <t>7615-0615</t>
  </si>
  <si>
    <t>09328455-0</t>
  </si>
  <si>
    <t>09328346-0</t>
  </si>
  <si>
    <t>09328347-0</t>
  </si>
  <si>
    <t>92097488-0</t>
  </si>
  <si>
    <t>09540840-0</t>
  </si>
  <si>
    <t>92099529-0</t>
  </si>
  <si>
    <t>71253-1</t>
  </si>
  <si>
    <t>93085609-0</t>
  </si>
  <si>
    <t>09301280-0</t>
  </si>
  <si>
    <t>09353222-0</t>
  </si>
  <si>
    <t>09353223-0</t>
  </si>
  <si>
    <t>09353224-0</t>
  </si>
  <si>
    <t>09353225-0</t>
  </si>
  <si>
    <t>09353240-0</t>
  </si>
  <si>
    <t>09353244-0</t>
  </si>
  <si>
    <t>BA3302-DE</t>
  </si>
  <si>
    <t>BA3202-DE</t>
  </si>
  <si>
    <t>BA3302-EN</t>
  </si>
  <si>
    <t>BA3202-EN</t>
  </si>
  <si>
    <t>BA3303-EN-US</t>
  </si>
  <si>
    <t>BA3203-EN-US</t>
  </si>
  <si>
    <t>BA3302-FR</t>
  </si>
  <si>
    <t>BA3202-FR</t>
  </si>
  <si>
    <t>BA3302-IT</t>
  </si>
  <si>
    <t>BA3202-IT</t>
  </si>
  <si>
    <t>BA3302-ES</t>
  </si>
  <si>
    <t>BA3202-ES</t>
  </si>
  <si>
    <t>BA3303-ES</t>
  </si>
  <si>
    <t>BA3203-ES</t>
  </si>
  <si>
    <t>BA3302-DA</t>
  </si>
  <si>
    <t>BA3202-DA</t>
  </si>
  <si>
    <t>BA3302-FI</t>
  </si>
  <si>
    <t>BA3202-FI</t>
  </si>
  <si>
    <t>BA3302-NL</t>
  </si>
  <si>
    <t>BA3202-NL</t>
  </si>
  <si>
    <t>BA3302-NO</t>
  </si>
  <si>
    <t>BA3202-NO</t>
  </si>
  <si>
    <t>BA3302-RU</t>
  </si>
  <si>
    <t>BA3202-RU</t>
  </si>
  <si>
    <t>BA3302-PT</t>
  </si>
  <si>
    <t>BA3202-PT</t>
  </si>
  <si>
    <t>BA3302-SV</t>
  </si>
  <si>
    <t>BA3202-SV</t>
  </si>
  <si>
    <t>BA3302-CS</t>
  </si>
  <si>
    <t>BA3202-CS</t>
  </si>
  <si>
    <t>BA3302-HR</t>
  </si>
  <si>
    <t>BA3202-HR</t>
  </si>
  <si>
    <t>BA3202-BG</t>
  </si>
  <si>
    <t>BA3202-EL</t>
  </si>
  <si>
    <t>BA3202-RO</t>
  </si>
  <si>
    <t>BA3202-SL</t>
  </si>
  <si>
    <t>BA3302-LT</t>
  </si>
  <si>
    <t>BA3202-LV</t>
  </si>
  <si>
    <t>BA3202-TR</t>
  </si>
  <si>
    <t>BA3302-ZH</t>
  </si>
  <si>
    <t>BA3202-ZH</t>
  </si>
  <si>
    <t>BR3301-DE</t>
  </si>
  <si>
    <t>BR3302-DE</t>
  </si>
  <si>
    <t>BR3301-EN</t>
  </si>
  <si>
    <t>BR3302-EN</t>
  </si>
  <si>
    <t>BR3301-FR</t>
  </si>
  <si>
    <t>BR3302-FR</t>
  </si>
  <si>
    <t>BR3301-IT</t>
  </si>
  <si>
    <t>BR3302-IT</t>
  </si>
  <si>
    <t>BR3301-ES</t>
  </si>
  <si>
    <t>BR3302-ES</t>
  </si>
  <si>
    <t>BR3301-DA</t>
  </si>
  <si>
    <t>BR3302-DA</t>
  </si>
  <si>
    <t>BR3301-FI</t>
  </si>
  <si>
    <t>BR3302-FI</t>
  </si>
  <si>
    <t>BR3301-NL</t>
  </si>
  <si>
    <t>BR3302-NL</t>
  </si>
  <si>
    <t>BR3301-NO</t>
  </si>
  <si>
    <t>BR3302-NO</t>
  </si>
  <si>
    <t>BR3301-LT</t>
  </si>
  <si>
    <t>BR3302-LT</t>
  </si>
  <si>
    <t>BR3301-RU</t>
  </si>
  <si>
    <t>BR3302-RU</t>
  </si>
  <si>
    <t>BR3301-SV</t>
  </si>
  <si>
    <t>BR3302-SV</t>
  </si>
  <si>
    <t>BR3302-PT</t>
  </si>
  <si>
    <t>BB3101-DE</t>
  </si>
  <si>
    <t>BB3101-EN</t>
  </si>
  <si>
    <t>BB3101-FR</t>
  </si>
  <si>
    <t>BB3101-IT</t>
  </si>
  <si>
    <t>BB3101-ES</t>
  </si>
  <si>
    <t>BA3501-DE</t>
  </si>
  <si>
    <t>BA3501-EN</t>
  </si>
  <si>
    <t>BA3501-CS</t>
  </si>
  <si>
    <t>BA3501-LV</t>
  </si>
  <si>
    <t>15059880-0</t>
  </si>
  <si>
    <t>15060529-0</t>
  </si>
  <si>
    <t>09399110-0</t>
  </si>
  <si>
    <t>09293248-0</t>
  </si>
  <si>
    <t>09293247-0</t>
  </si>
  <si>
    <t>17532617-0</t>
  </si>
  <si>
    <t>09293951-0</t>
  </si>
  <si>
    <t>09293950-0</t>
  </si>
  <si>
    <t>09204200-0</t>
  </si>
  <si>
    <t>09204211-0</t>
  </si>
  <si>
    <t>09204201-0</t>
  </si>
  <si>
    <t>09204206-0</t>
  </si>
  <si>
    <t>09204204-0</t>
  </si>
  <si>
    <t>09204207-0</t>
  </si>
  <si>
    <t>09204203-0</t>
  </si>
  <si>
    <t>09204208-0</t>
  </si>
  <si>
    <t>09530441-0</t>
  </si>
  <si>
    <t>09596067-0</t>
  </si>
  <si>
    <t>09532197-0</t>
  </si>
  <si>
    <t>667-6</t>
  </si>
  <si>
    <t>72688-1</t>
  </si>
  <si>
    <t>92153031-0</t>
  </si>
  <si>
    <t>93545290-0</t>
  </si>
  <si>
    <t>93213014-0</t>
  </si>
  <si>
    <t>09533531-0</t>
  </si>
  <si>
    <t>09570516-0</t>
  </si>
  <si>
    <t>9201204-060</t>
  </si>
  <si>
    <t>9201205-061</t>
  </si>
  <si>
    <t>9401203-060</t>
  </si>
  <si>
    <t xml:space="preserve"> 09530212-0</t>
  </si>
  <si>
    <t>LEŽAJ ČELIČNO GUMENI</t>
  </si>
  <si>
    <t xml:space="preserve"> 15052766-0</t>
  </si>
  <si>
    <t>USISNO CRIJEVO SA METALNIM SPOJNIM PRIKLJUČKOM</t>
  </si>
  <si>
    <t xml:space="preserve"> 09531033-0</t>
  </si>
  <si>
    <t>STEZALJKA</t>
  </si>
  <si>
    <t xml:space="preserve"> 09552026-0</t>
  </si>
  <si>
    <t>FILTAR ZA VODU</t>
  </si>
  <si>
    <t xml:space="preserve"> 09550103-0</t>
  </si>
  <si>
    <t>VENTIL ZA VODU</t>
  </si>
  <si>
    <t xml:space="preserve"> 09531194-0</t>
  </si>
  <si>
    <t>DIZA ZA VODU</t>
  </si>
  <si>
    <t xml:space="preserve"> 15052062-0</t>
  </si>
  <si>
    <t xml:space="preserve">LEŽAJ ČELIČNO GUMENI </t>
  </si>
  <si>
    <t>TURBINA MOTORA</t>
  </si>
  <si>
    <t xml:space="preserve"> 17950214-0</t>
  </si>
  <si>
    <t>ROTOR TURBINE</t>
  </si>
  <si>
    <t xml:space="preserve"> 15051146-0</t>
  </si>
  <si>
    <t>BRTVILO GUMENO</t>
  </si>
  <si>
    <t xml:space="preserve"> 17951780-0</t>
  </si>
  <si>
    <t>FAR PREDNJI DESNI</t>
  </si>
  <si>
    <t xml:space="preserve"> 09543046-0</t>
  </si>
  <si>
    <t>GLAVNI KOČNI CILINDAR</t>
  </si>
  <si>
    <t xml:space="preserve"> 15052147-0</t>
  </si>
  <si>
    <t>AMORTIZER SA OPRUGOM</t>
  </si>
  <si>
    <t xml:space="preserve"> 09552089-0</t>
  </si>
  <si>
    <t>ULOŽAK FILTRA HIDRAULIKE</t>
  </si>
  <si>
    <t xml:space="preserve"> 0930 1390-0</t>
  </si>
  <si>
    <t>PREKIDAČ ŠTOP SVJETLA</t>
  </si>
  <si>
    <t xml:space="preserve"> 17951775-0</t>
  </si>
  <si>
    <t>MAGNET ELEKTROMAGNETSKOG VENTILA OKRUGLI</t>
  </si>
  <si>
    <t xml:space="preserve"> 17951271-0</t>
  </si>
  <si>
    <t>ELEKTROMAGNET VENTILA</t>
  </si>
  <si>
    <t xml:space="preserve"> 15053895-0</t>
  </si>
  <si>
    <t>SENZOR MAGNETNO INDUKATIVNI HIDROMOTORA TURBINE</t>
  </si>
  <si>
    <t xml:space="preserve"> R891100060736</t>
  </si>
  <si>
    <t>VREMENSKA KONTROLNA JEDINICA ZA GRIJAČE</t>
  </si>
  <si>
    <t xml:space="preserve"> 17904669-0</t>
  </si>
  <si>
    <t>FILTAR ZRAKA MOTORA</t>
  </si>
  <si>
    <t xml:space="preserve"> 17904670-0</t>
  </si>
  <si>
    <t>FILTAR ZRAKA SEKUNDARNI</t>
  </si>
  <si>
    <t xml:space="preserve"> E45310071A</t>
  </si>
  <si>
    <t>FILTAR GORIVA MOTORA</t>
  </si>
  <si>
    <t xml:space="preserve"> E45020002A</t>
  </si>
  <si>
    <t>VENTIL ZA ZATVARANJE GORIVA</t>
  </si>
  <si>
    <t xml:space="preserve"> 15053587-0</t>
  </si>
  <si>
    <t>PUMPA ZA HIDRAULIKU</t>
  </si>
  <si>
    <t xml:space="preserve"> E39012004F</t>
  </si>
  <si>
    <t>TEMPERATURNI VENTIL (TERMOSTAT)</t>
  </si>
  <si>
    <t xml:space="preserve"> 15053759-0</t>
  </si>
  <si>
    <t>KOMANDNI SKLOP SA RUČICOM ZA UPRAVLJANJE (JOYSTICK-om)</t>
  </si>
  <si>
    <t xml:space="preserve"> 09301126-0</t>
  </si>
  <si>
    <t>PREKIDAČ</t>
  </si>
  <si>
    <t xml:space="preserve"> 15053897-0</t>
  </si>
  <si>
    <t>OSJETILO NIVOA</t>
  </si>
  <si>
    <t xml:space="preserve"> 09304023-0</t>
  </si>
  <si>
    <t>PREKIDAČ POZICIJE</t>
  </si>
  <si>
    <t xml:space="preserve"> 15053797-0</t>
  </si>
  <si>
    <t>UPRAVLJAČKA PLOČA SA RELEJIMA</t>
  </si>
  <si>
    <t xml:space="preserve"> E49012016F</t>
  </si>
  <si>
    <t>BRTVENI PRSTEN ZA TEMPERATURNI VENTIL</t>
  </si>
  <si>
    <t xml:space="preserve"> E18522023F</t>
  </si>
  <si>
    <t>ALTERNATOR MOTORA 12V 85A</t>
  </si>
  <si>
    <t xml:space="preserve"> E35532043</t>
  </si>
  <si>
    <t>ELEKTROPOKRETAČ MOTORA 12V</t>
  </si>
  <si>
    <t xml:space="preserve"> 00032010-0</t>
  </si>
  <si>
    <t>LEŽAJ KONUSNO VALJKASTI</t>
  </si>
  <si>
    <t xml:space="preserve"> 17951587-0</t>
  </si>
  <si>
    <t>DISK KOČNICE</t>
  </si>
  <si>
    <t xml:space="preserve"> 17951616-0</t>
  </si>
  <si>
    <t>KLIZNI PRSTEN</t>
  </si>
  <si>
    <t xml:space="preserve"> 00032012-0</t>
  </si>
  <si>
    <t xml:space="preserve"> 179 50149-0</t>
  </si>
  <si>
    <t>SEMERING</t>
  </si>
  <si>
    <t xml:space="preserve"> 17950133-0</t>
  </si>
  <si>
    <t>ČELJUST KOČNICE LIJEVA</t>
  </si>
  <si>
    <t xml:space="preserve"> 17950134-0</t>
  </si>
  <si>
    <t>ČELJUST KOČNICE DESNA</t>
  </si>
  <si>
    <t xml:space="preserve"> 17950435-0</t>
  </si>
  <si>
    <t>GARNITURA DISK PLOČICA KOČNICA</t>
  </si>
  <si>
    <t xml:space="preserve"> 179 50162-0</t>
  </si>
  <si>
    <t>MANŽETA</t>
  </si>
  <si>
    <t xml:space="preserve"> 00006010-0</t>
  </si>
  <si>
    <t>LEŽAJ KUGLIČNI</t>
  </si>
  <si>
    <t xml:space="preserve"> 17950767-0</t>
  </si>
  <si>
    <t>CILINDAR VOLANA ZADNJE OSOVINE</t>
  </si>
  <si>
    <t xml:space="preserve"> 17950761-0</t>
  </si>
  <si>
    <t>SPONA UPRAVLJAČA</t>
  </si>
  <si>
    <t xml:space="preserve"> 17950762-0</t>
  </si>
  <si>
    <t xml:space="preserve"> 17950748-0</t>
  </si>
  <si>
    <t>LEŽAJ KONUSNI</t>
  </si>
  <si>
    <t xml:space="preserve"> 17950764-0</t>
  </si>
  <si>
    <t>KRIŽ KARDANA</t>
  </si>
  <si>
    <t xml:space="preserve"> 15054477-0</t>
  </si>
  <si>
    <t>AMORTIZER</t>
  </si>
  <si>
    <t>DIZE MOTORA</t>
  </si>
  <si>
    <t xml:space="preserve"> 4502 0002A</t>
  </si>
  <si>
    <t>VENTIL PUMPE VISOKOG PRITISKA</t>
  </si>
  <si>
    <t>SEMERING RADILICE</t>
  </si>
  <si>
    <t xml:space="preserve"> 41152002A</t>
  </si>
  <si>
    <t>FILTAR ULJA MOTORA</t>
  </si>
  <si>
    <t>TERMOSTAT MOTORA</t>
  </si>
  <si>
    <t xml:space="preserve"> 1130 0072A</t>
  </si>
  <si>
    <t>CRIJEVO ULJA TURBINE</t>
  </si>
  <si>
    <t xml:space="preserve"> 4202 0020A</t>
  </si>
  <si>
    <t>PRSTEN BAKRENI</t>
  </si>
  <si>
    <t xml:space="preserve"> 1520 2050</t>
  </si>
  <si>
    <t>PUMPA ZA VODU MOTORA</t>
  </si>
  <si>
    <t xml:space="preserve"> 17951278-1</t>
  </si>
  <si>
    <t>TERMOSTAT VENTILATORA HLADNJAKA HIDRAULIKE</t>
  </si>
  <si>
    <t xml:space="preserve"> 1518 0019</t>
  </si>
  <si>
    <t>PREDPUMPICA GORIVA</t>
  </si>
  <si>
    <t xml:space="preserve"> 4531 0071</t>
  </si>
  <si>
    <t xml:space="preserve"> 1505 1267-0</t>
  </si>
  <si>
    <t>ELEMENT OPRUGE</t>
  </si>
  <si>
    <t xml:space="preserve"> 15053271-0</t>
  </si>
  <si>
    <t>CILINDAR HIDRAULIKE</t>
  </si>
  <si>
    <t xml:space="preserve"> 15052538-1</t>
  </si>
  <si>
    <t xml:space="preserve"> 15052882-0</t>
  </si>
  <si>
    <t>HIDROMOTOR KEFE</t>
  </si>
  <si>
    <t xml:space="preserve"> R81322715202</t>
  </si>
  <si>
    <t>CILINDAR</t>
  </si>
  <si>
    <t xml:space="preserve"> 15054793-0</t>
  </si>
  <si>
    <t xml:space="preserve"> 09593560-0</t>
  </si>
  <si>
    <t>ADAPTER SPOJNICA</t>
  </si>
  <si>
    <t xml:space="preserve"> 09593180-0</t>
  </si>
  <si>
    <t>AUTOMATSKA SPOJNICA POD KUTEM</t>
  </si>
  <si>
    <t xml:space="preserve"> 09587812-0</t>
  </si>
  <si>
    <t>WEGE VENTIL</t>
  </si>
  <si>
    <t xml:space="preserve"> 17951350-0</t>
  </si>
  <si>
    <t xml:space="preserve"> 17951325-0</t>
  </si>
  <si>
    <t xml:space="preserve"> 17951395-0</t>
  </si>
  <si>
    <t>VENTILATOR TURBINE</t>
  </si>
  <si>
    <t xml:space="preserve"> 17951010-0</t>
  </si>
  <si>
    <t>ELEKTROMAGNETNI ZAVOJNICA</t>
  </si>
  <si>
    <t xml:space="preserve"> R81322722231</t>
  </si>
  <si>
    <t>SELEN BLOK</t>
  </si>
  <si>
    <t xml:space="preserve"> 17951601-0</t>
  </si>
  <si>
    <t>ELEKTROMAGNETNA ŠPULA</t>
  </si>
  <si>
    <t xml:space="preserve"> 17950960-0</t>
  </si>
  <si>
    <t>ELEKTROMAGNETNI VENTIL</t>
  </si>
  <si>
    <t xml:space="preserve"> 17950333-0</t>
  </si>
  <si>
    <t xml:space="preserve"> 15054216-2</t>
  </si>
  <si>
    <t>LAMPA ŠTOP LIJEVA</t>
  </si>
  <si>
    <t xml:space="preserve"> 15055374-0</t>
  </si>
  <si>
    <t>VISKO VENTILATOR</t>
  </si>
  <si>
    <t xml:space="preserve"> 15052098-0</t>
  </si>
  <si>
    <t>AMORTIZER PREDNJI</t>
  </si>
  <si>
    <t xml:space="preserve"> R81322734281</t>
  </si>
  <si>
    <t>VLAČNA OPRUGA</t>
  </si>
  <si>
    <t xml:space="preserve"> 15052512-0</t>
  </si>
  <si>
    <t>HIDRAULIČNI CILINDAR ČETKE</t>
  </si>
  <si>
    <t xml:space="preserve"> 15053639-0</t>
  </si>
  <si>
    <t>HIDROMOTOR DS 100 ZA POGON ČETKE</t>
  </si>
  <si>
    <t xml:space="preserve"> 15053387-0</t>
  </si>
  <si>
    <t>PLINSKI AMORTIZER 900 N</t>
  </si>
  <si>
    <t xml:space="preserve"> 09533410-0</t>
  </si>
  <si>
    <t>KUTNI ZGLOB (JABUČASTI ZGLOB)</t>
  </si>
  <si>
    <t xml:space="preserve"> 15052539-0</t>
  </si>
  <si>
    <t>HIDRAULIČNI CILINDAR</t>
  </si>
  <si>
    <t xml:space="preserve"> 15053189-0</t>
  </si>
  <si>
    <t>ELASTIČNI ELEMENT</t>
  </si>
  <si>
    <t xml:space="preserve"> 09503013-0</t>
  </si>
  <si>
    <t>AMORTIZER PLINSKI</t>
  </si>
  <si>
    <t xml:space="preserve"> 15052537-0</t>
  </si>
  <si>
    <t xml:space="preserve"> 17950165-0</t>
  </si>
  <si>
    <t>GARNITURA KOČNICA</t>
  </si>
  <si>
    <t xml:space="preserve"> 15054346-1</t>
  </si>
  <si>
    <t>GUMA SABIRNA USISNOG GRLA</t>
  </si>
  <si>
    <t xml:space="preserve"> 15054766-0</t>
  </si>
  <si>
    <t>GUMA KLAPNE USISNOG GRLA</t>
  </si>
  <si>
    <t xml:space="preserve"> 15055007-1</t>
  </si>
  <si>
    <t>SPOJKA KVAČILA ELASTIČNA</t>
  </si>
  <si>
    <t>OSOVINA SPOJKE</t>
  </si>
  <si>
    <t>OSIGURAČ OSOVINE SPOJKE</t>
  </si>
  <si>
    <t xml:space="preserve"> 15054217-2</t>
  </si>
  <si>
    <t>LAMPA ŠTOP DESNA</t>
  </si>
  <si>
    <t>E21302278F</t>
  </si>
  <si>
    <t>E21302806</t>
  </si>
  <si>
    <t>E21782064A</t>
  </si>
  <si>
    <t>E22022101</t>
  </si>
  <si>
    <t>E46510576A</t>
  </si>
  <si>
    <t>00006011-0</t>
  </si>
  <si>
    <t>00031307-0</t>
  </si>
  <si>
    <t>08180001051 </t>
  </si>
  <si>
    <t>09504027-0</t>
  </si>
  <si>
    <t>09506187-0</t>
  </si>
  <si>
    <t>09534153-0</t>
  </si>
  <si>
    <t>15052188-0</t>
  </si>
  <si>
    <t>15053395-4</t>
  </si>
  <si>
    <t>15053396-4</t>
  </si>
  <si>
    <t>15053397-4</t>
  </si>
  <si>
    <t>15053688-0</t>
  </si>
  <si>
    <t>15053689-0</t>
  </si>
  <si>
    <t>15053691-0</t>
  </si>
  <si>
    <t>17950103-0</t>
  </si>
  <si>
    <t>17950105-1</t>
  </si>
  <si>
    <t>17950113-1</t>
  </si>
  <si>
    <t>17950125-0</t>
  </si>
  <si>
    <t>17950140-0</t>
  </si>
  <si>
    <t>17950141-0</t>
  </si>
  <si>
    <t>17950148-0</t>
  </si>
  <si>
    <t>17950149-0</t>
  </si>
  <si>
    <t>17950162-0</t>
  </si>
  <si>
    <t>17951025-1</t>
  </si>
  <si>
    <t>17951277-0 </t>
  </si>
  <si>
    <t>17951679-0</t>
  </si>
  <si>
    <t>17951680-0</t>
  </si>
  <si>
    <t>17951681-0</t>
  </si>
  <si>
    <t>17951689-0</t>
  </si>
  <si>
    <t xml:space="preserve">CRIJEVO ULJA </t>
  </si>
  <si>
    <t>CRIJEVO POVRATA GORIVA</t>
  </si>
  <si>
    <t xml:space="preserve">SPOJNICA  </t>
  </si>
  <si>
    <t>BRTAVA VODENE PUMPE</t>
  </si>
  <si>
    <t xml:space="preserve">REMEN  </t>
  </si>
  <si>
    <t>LEŽAJ OSOVINE MJENJAČA</t>
  </si>
  <si>
    <t>LEŽAJ KONUSNI VEĆI</t>
  </si>
  <si>
    <t>BRTVA PLOČE ZA</t>
  </si>
  <si>
    <t xml:space="preserve">GUMA BRTVENA </t>
  </si>
  <si>
    <t>INDIKATOR NIVOA HIDRAOL</t>
  </si>
  <si>
    <t>GUMICA O RING</t>
  </si>
  <si>
    <t>FILTER ZRAKA KOMPLET</t>
  </si>
  <si>
    <t>C ŠINA POPREČNA</t>
  </si>
  <si>
    <t>C-ŠINA UZDUŽNA DESNA</t>
  </si>
  <si>
    <t>C- ŠINA UZDUŽNA</t>
  </si>
  <si>
    <t>C-ŠINA POPREČNA STRAŽNJA</t>
  </si>
  <si>
    <t>C-ŠINA KRAĆA DESNA</t>
  </si>
  <si>
    <t>C-ŠINA KRAČA LIJEVA</t>
  </si>
  <si>
    <t>LEŽAJ KONUSNI MANJI</t>
  </si>
  <si>
    <t>MATICA M27x1,5 mm</t>
  </si>
  <si>
    <t>VIJAK TANJURASTOG ZUPČANIKA</t>
  </si>
  <si>
    <t xml:space="preserve">SEMERING GLAVČINE </t>
  </si>
  <si>
    <t xml:space="preserve">ZUPČANIK  </t>
  </si>
  <si>
    <t>BRTVILO GUMENOG POKLOPCA</t>
  </si>
  <si>
    <t xml:space="preserve">ZUPČANIK KOČIONI </t>
  </si>
  <si>
    <t>BRTVILO KOČIONOG ZUPČANIKA</t>
  </si>
  <si>
    <t xml:space="preserve">MANŠETA KUĆIŠTA </t>
  </si>
  <si>
    <t xml:space="preserve">GARNITURA DIFERENCIJALA </t>
  </si>
  <si>
    <t>TERMOSTAT VENTILATORA HLADNJAKA</t>
  </si>
  <si>
    <t>RUČICA PODIZAČA STAKLA</t>
  </si>
  <si>
    <t>PODLOŠKA RUČICE PODIZAČA</t>
  </si>
  <si>
    <t>OSIGURAČ RUČICE PODIZAČA</t>
  </si>
  <si>
    <t>PODIZAČ STAKLA LIJEVI</t>
  </si>
  <si>
    <t>PRIJEVOZ (ŠLEPANJE) NEISPRAVNOG VOZILA NA PODRUČJU GRADA ZAGREBA</t>
  </si>
  <si>
    <t>usluga</t>
  </si>
  <si>
    <t>RADNI SAT SERVISERA - AUTOMEHANIČAR</t>
  </si>
  <si>
    <t>h</t>
  </si>
  <si>
    <t>RADNI SAT SERVISERA - AUTOELEKTRIČAR</t>
  </si>
  <si>
    <t>RADNI SAT SERVISERA - AUTOLIMAR/STROJOBRAVAR</t>
  </si>
  <si>
    <t>RADNI SAT SERVISERA - HIDRAULIČAR</t>
  </si>
  <si>
    <t>RADNI SAT SERVISERA NA TERENU</t>
  </si>
  <si>
    <t>Jedinična cijena stavke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</si>
</sst>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1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6" fillId="0" borderId="4" xfId="0" applyFont="1" applyBorder="1" applyAlignment="1">
      <alignment horizontal="right" vertical="center" wrapText="1"/>
    </xf>
    <xf numFmtId="4" fontId="5" fillId="0" borderId="1" xfId="0" applyNumberFormat="1" applyFont="1" applyBorder="1"/>
    <xf numFmtId="0" fontId="3" fillId="0" borderId="0" xfId="0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0" fillId="5" borderId="0" xfId="0" applyFill="1" applyAlignment="1">
      <alignment horizontal="left" vertical="top"/>
    </xf>
    <xf numFmtId="0" fontId="5" fillId="6" borderId="5" xfId="0" applyFont="1" applyFill="1" applyBorder="1" applyAlignment="1">
      <alignment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5" borderId="5" xfId="0" applyFont="1" applyFill="1" applyBorder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5" fillId="6" borderId="0" xfId="0" applyFont="1" applyFill="1" applyAlignment="1">
      <alignment wrapText="1"/>
    </xf>
    <xf numFmtId="0" fontId="0" fillId="0" borderId="5" xfId="0" applyBorder="1"/>
    <xf numFmtId="164" fontId="4" fillId="4" borderId="1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left" vertical="center" wrapText="1"/>
    </xf>
    <xf numFmtId="0" fontId="4" fillId="4" borderId="0" xfId="0" applyFont="1" applyFill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45FDA90-5918-4657-AC9C-C13DFDA01D83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66"/>
  <sheetViews>
    <sheetView tabSelected="1" zoomScale="90" zoomScaleNormal="90" zoomScaleSheetLayoutView="50" zoomScalePageLayoutView="80" workbookViewId="0">
      <selection activeCell="F2" sqref="F2"/>
    </sheetView>
  </sheetViews>
  <sheetFormatPr defaultColWidth="9.33203125" defaultRowHeight="15" x14ac:dyDescent="0.2"/>
  <cols>
    <col min="1" max="1" width="10.6640625" style="13" customWidth="1"/>
    <col min="2" max="2" width="34" style="14" customWidth="1"/>
    <col min="3" max="3" width="102.5" style="11" customWidth="1"/>
    <col min="4" max="5" width="13" style="15" customWidth="1"/>
    <col min="6" max="6" width="24" style="12" customWidth="1"/>
    <col min="7" max="7" width="9.33203125" style="4"/>
    <col min="8" max="8" width="10.33203125" style="4" customWidth="1"/>
    <col min="9" max="9" width="9.33203125" style="4" hidden="1" customWidth="1"/>
    <col min="10" max="16384" width="9.33203125" style="4"/>
  </cols>
  <sheetData>
    <row r="1" spans="1:9" ht="24" x14ac:dyDescent="0.2">
      <c r="A1" s="1" t="s">
        <v>0</v>
      </c>
      <c r="B1" s="1" t="s">
        <v>12</v>
      </c>
      <c r="C1" s="2" t="s">
        <v>1</v>
      </c>
      <c r="D1" s="1" t="s">
        <v>2</v>
      </c>
      <c r="E1" s="1" t="s">
        <v>3</v>
      </c>
      <c r="F1" s="3" t="s">
        <v>2280</v>
      </c>
    </row>
    <row r="2" spans="1:9" x14ac:dyDescent="0.2">
      <c r="A2" s="5" t="s">
        <v>4</v>
      </c>
      <c r="B2" s="16" t="s">
        <v>5</v>
      </c>
      <c r="C2" s="6" t="s">
        <v>6</v>
      </c>
      <c r="D2" s="5" t="s">
        <v>7</v>
      </c>
      <c r="E2" s="5" t="s">
        <v>8</v>
      </c>
      <c r="F2" s="7" t="s">
        <v>9</v>
      </c>
    </row>
    <row r="3" spans="1:9" ht="25.5" customHeight="1" x14ac:dyDescent="0.2">
      <c r="A3" s="27">
        <v>1</v>
      </c>
      <c r="B3" s="29">
        <v>7006376</v>
      </c>
      <c r="C3" s="29" t="str">
        <f ca="1">IFERROR(__xludf.DUMMYFUNCTION("GOOGLETRANSLATE(C3374,""en"",""hr"")"),"Usisna cijev")</f>
        <v>Usisna cijev</v>
      </c>
      <c r="D3" s="28" t="s">
        <v>11</v>
      </c>
      <c r="E3" s="29">
        <v>1</v>
      </c>
      <c r="F3" s="17"/>
    </row>
    <row r="4" spans="1:9" ht="25.5" customHeight="1" x14ac:dyDescent="0.2">
      <c r="A4" s="27">
        <v>2</v>
      </c>
      <c r="B4" s="29">
        <v>7007618</v>
      </c>
      <c r="C4" s="29" t="str">
        <f ca="1">IFERROR(__xludf.DUMMYFUNCTION("GOOGLETRANSLATE(C4096,""en"",""hr"")"),"Koplje visokog pritiska")</f>
        <v>Koplje visokog pritiska</v>
      </c>
      <c r="D4" s="28" t="s">
        <v>11</v>
      </c>
      <c r="E4" s="29">
        <v>1</v>
      </c>
      <c r="F4" s="17"/>
    </row>
    <row r="5" spans="1:9" ht="25.5" customHeight="1" x14ac:dyDescent="0.2">
      <c r="A5" s="27">
        <v>3</v>
      </c>
      <c r="B5" s="29">
        <v>7008357</v>
      </c>
      <c r="C5" s="29" t="str">
        <f ca="1">IFERROR(__xludf.DUMMYFUNCTION("GOOGLETRANSLATE(C6618,""en"",""hr"")"),"Pribor za prvu pomoć")</f>
        <v>Pribor za prvu pomoć</v>
      </c>
      <c r="D5" s="28" t="s">
        <v>11</v>
      </c>
      <c r="E5" s="29">
        <v>1</v>
      </c>
      <c r="F5" s="17"/>
      <c r="I5" s="4" t="b">
        <f>INT(F3*100)=(F3*100)</f>
        <v>1</v>
      </c>
    </row>
    <row r="6" spans="1:9" ht="25.5" customHeight="1" x14ac:dyDescent="0.2">
      <c r="A6" s="27">
        <v>4</v>
      </c>
      <c r="B6" s="29">
        <v>7010157</v>
      </c>
      <c r="C6" s="29" t="str">
        <f ca="1">IFERROR(__xludf.DUMMYFUNCTION("GOOGLETRANSLATE(C6775,""en"",""hr"")"),"Ljepljiva ploča")</f>
        <v>Ljepljiva ploča</v>
      </c>
      <c r="D6" s="28" t="s">
        <v>11</v>
      </c>
      <c r="E6" s="29">
        <v>1</v>
      </c>
      <c r="F6" s="17"/>
    </row>
    <row r="7" spans="1:9" ht="25.5" customHeight="1" x14ac:dyDescent="0.2">
      <c r="A7" s="27">
        <v>5</v>
      </c>
      <c r="B7" s="29">
        <v>7010158</v>
      </c>
      <c r="C7" s="29" t="str">
        <f ca="1">IFERROR(__xludf.DUMMYFUNCTION("GOOGLETRANSLATE(C6773,""en"",""hr"")"),"Ljepljiva ploča")</f>
        <v>Ljepljiva ploča</v>
      </c>
      <c r="D7" s="28" t="s">
        <v>11</v>
      </c>
      <c r="E7" s="29">
        <v>1</v>
      </c>
      <c r="F7" s="17"/>
    </row>
    <row r="8" spans="1:9" ht="25.5" customHeight="1" x14ac:dyDescent="0.2">
      <c r="A8" s="27">
        <v>6</v>
      </c>
      <c r="B8" s="29">
        <v>7010159</v>
      </c>
      <c r="C8" s="29" t="str">
        <f ca="1">IFERROR(__xludf.DUMMYFUNCTION("GOOGLETRANSLATE(C6777,""en"",""hr"")"),"Ljepljiva ploča")</f>
        <v>Ljepljiva ploča</v>
      </c>
      <c r="D8" s="28" t="s">
        <v>11</v>
      </c>
      <c r="E8" s="29">
        <v>1</v>
      </c>
      <c r="F8" s="17"/>
      <c r="I8" s="4" t="b">
        <f>INT(F6*100)=(F6*100)</f>
        <v>1</v>
      </c>
    </row>
    <row r="9" spans="1:9" ht="25.5" customHeight="1" x14ac:dyDescent="0.2">
      <c r="A9" s="27">
        <v>7</v>
      </c>
      <c r="B9" s="29">
        <v>7010187</v>
      </c>
      <c r="C9" s="29" t="str">
        <f ca="1">IFERROR(__xludf.DUMMYFUNCTION("GOOGLETRANSLATE(C6791,""en"",""hr"")"),"Ljepljiva ploča")</f>
        <v>Ljepljiva ploča</v>
      </c>
      <c r="D9" s="28" t="s">
        <v>11</v>
      </c>
      <c r="E9" s="29">
        <v>1</v>
      </c>
      <c r="F9" s="17"/>
    </row>
    <row r="10" spans="1:9" ht="25.5" customHeight="1" x14ac:dyDescent="0.2">
      <c r="A10" s="27">
        <v>8</v>
      </c>
      <c r="B10" s="29">
        <v>7011859</v>
      </c>
      <c r="C10" s="29" t="str">
        <f ca="1">IFERROR(__xludf.DUMMYFUNCTION("GOOGLETRANSLATE(C2481,""en"",""hr"")"),"Vijak kpl.")</f>
        <v>Vijak kpl.</v>
      </c>
      <c r="D10" s="28" t="s">
        <v>11</v>
      </c>
      <c r="E10" s="29">
        <v>1</v>
      </c>
      <c r="F10" s="17"/>
    </row>
    <row r="11" spans="1:9" ht="25.5" customHeight="1" x14ac:dyDescent="0.2">
      <c r="A11" s="27">
        <v>9</v>
      </c>
      <c r="B11" s="29">
        <v>7013319</v>
      </c>
      <c r="C11" s="29" t="str">
        <f ca="1">IFERROR(__xludf.DUMMYFUNCTION("GOOGLETRANSLATE(C6786,""en"",""hr"")"),"Ljepljiva ploča")</f>
        <v>Ljepljiva ploča</v>
      </c>
      <c r="D11" s="28" t="s">
        <v>11</v>
      </c>
      <c r="E11" s="29">
        <v>1</v>
      </c>
      <c r="F11" s="17"/>
    </row>
    <row r="12" spans="1:9" ht="25.5" customHeight="1" x14ac:dyDescent="0.2">
      <c r="A12" s="27">
        <v>10</v>
      </c>
      <c r="B12" s="29">
        <v>7013996</v>
      </c>
      <c r="C12" s="29" t="str">
        <f ca="1">IFERROR(__xludf.DUMMYFUNCTION("GOOGLETRANSLATE(C678,""en"",""hr"")"),"Prekidač blizine")</f>
        <v>Prekidač blizine</v>
      </c>
      <c r="D12" s="28" t="s">
        <v>11</v>
      </c>
      <c r="E12" s="29">
        <v>1</v>
      </c>
      <c r="F12" s="17"/>
      <c r="I12" s="4" t="b">
        <f>INT(F10*100)=(F10*100)</f>
        <v>1</v>
      </c>
    </row>
    <row r="13" spans="1:9" ht="25.5" customHeight="1" x14ac:dyDescent="0.2">
      <c r="A13" s="27">
        <v>11</v>
      </c>
      <c r="B13" s="29">
        <v>7015032</v>
      </c>
      <c r="C13" s="29" t="str">
        <f ca="1">IFERROR(__xludf.DUMMYFUNCTION("GOOGLETRANSLATE(C884,""en"",""hr"")"),"Klizna traka")</f>
        <v>Klizna traka</v>
      </c>
      <c r="D13" s="28" t="s">
        <v>11</v>
      </c>
      <c r="E13" s="29">
        <v>1</v>
      </c>
      <c r="F13" s="17"/>
    </row>
    <row r="14" spans="1:9" ht="25.5" customHeight="1" x14ac:dyDescent="0.2">
      <c r="A14" s="27">
        <v>12</v>
      </c>
      <c r="B14" s="29">
        <v>7016354</v>
      </c>
      <c r="C14" s="29" t="str">
        <f ca="1">IFERROR(__xludf.DUMMYFUNCTION("GOOGLETRANSLATE(C2282,""en"",""hr"")"),"Cilindar")</f>
        <v>Cilindar</v>
      </c>
      <c r="D14" s="28" t="s">
        <v>11</v>
      </c>
      <c r="E14" s="29">
        <v>1</v>
      </c>
      <c r="F14" s="17"/>
    </row>
    <row r="15" spans="1:9" ht="25.5" customHeight="1" x14ac:dyDescent="0.2">
      <c r="A15" s="27">
        <v>13</v>
      </c>
      <c r="B15" s="29">
        <v>7017574</v>
      </c>
      <c r="C15" s="29" t="str">
        <f ca="1">IFERROR(__xludf.DUMMYFUNCTION("GOOGLETRANSLATE(C3534,""en"",""hr"")"),"Utikač")</f>
        <v>Utikač</v>
      </c>
      <c r="D15" s="28" t="s">
        <v>11</v>
      </c>
      <c r="E15" s="29">
        <v>1</v>
      </c>
      <c r="F15" s="17"/>
    </row>
    <row r="16" spans="1:9" ht="25.5" customHeight="1" x14ac:dyDescent="0.2">
      <c r="A16" s="27">
        <v>14</v>
      </c>
      <c r="B16" s="29">
        <v>7028190</v>
      </c>
      <c r="C16" s="29" t="str">
        <f ca="1">IFERROR(__xludf.DUMMYFUNCTION("GOOGLETRANSLATE(C807,""en"",""hr"")"),"Priključak")</f>
        <v>Priključak</v>
      </c>
      <c r="D16" s="28" t="s">
        <v>11</v>
      </c>
      <c r="E16" s="29">
        <v>1</v>
      </c>
      <c r="F16" s="17"/>
    </row>
    <row r="17" spans="1:9" ht="25.5" customHeight="1" x14ac:dyDescent="0.2">
      <c r="A17" s="27">
        <v>15</v>
      </c>
      <c r="B17" s="29">
        <v>7028735</v>
      </c>
      <c r="C17" s="29" t="str">
        <f ca="1">IFERROR(__xludf.DUMMYFUNCTION("GOOGLETRANSLATE(C5301,""en"",""hr"")"),"4GB USB Flash Drive / NGS zaslon")</f>
        <v>4GB USB Flash Drive / NGS zaslon</v>
      </c>
      <c r="D17" s="28" t="s">
        <v>11</v>
      </c>
      <c r="E17" s="29">
        <v>1</v>
      </c>
      <c r="F17" s="17"/>
    </row>
    <row r="18" spans="1:9" ht="25.5" customHeight="1" x14ac:dyDescent="0.2">
      <c r="A18" s="27">
        <v>16</v>
      </c>
      <c r="B18" s="29">
        <v>7031868</v>
      </c>
      <c r="C18" s="29" t="str">
        <f ca="1">IFERROR(__xludf.DUMMYFUNCTION("GOOGLETRANSLATE(C4836,""en"",""hr"")"),"šarka")</f>
        <v>šarka</v>
      </c>
      <c r="D18" s="28" t="s">
        <v>11</v>
      </c>
      <c r="E18" s="29">
        <v>1</v>
      </c>
      <c r="F18" s="17"/>
    </row>
    <row r="19" spans="1:9" ht="25.5" customHeight="1" x14ac:dyDescent="0.2">
      <c r="A19" s="27">
        <v>17</v>
      </c>
      <c r="B19" s="29">
        <v>7033210</v>
      </c>
      <c r="C19" s="29" t="str">
        <f ca="1">IFERROR(__xludf.DUMMYFUNCTION("GOOGLETRANSLATE(C4216,""en"",""hr"")"),"Pintle")</f>
        <v>Pintle</v>
      </c>
      <c r="D19" s="28" t="s">
        <v>11</v>
      </c>
      <c r="E19" s="29">
        <v>1</v>
      </c>
      <c r="F19" s="17"/>
    </row>
    <row r="20" spans="1:9" ht="25.5" customHeight="1" x14ac:dyDescent="0.2">
      <c r="A20" s="27">
        <v>18</v>
      </c>
      <c r="B20" s="29">
        <v>7034790</v>
      </c>
      <c r="C20" s="29" t="str">
        <f ca="1">IFERROR(__xludf.DUMMYFUNCTION("GOOGLETRANSLATE(C5478,""en"",""hr"")"),"Papučica gasa")</f>
        <v>Papučica gasa</v>
      </c>
      <c r="D20" s="28" t="s">
        <v>11</v>
      </c>
      <c r="E20" s="29">
        <v>1</v>
      </c>
      <c r="F20" s="17"/>
    </row>
    <row r="21" spans="1:9" ht="25.5" customHeight="1" x14ac:dyDescent="0.2">
      <c r="A21" s="27">
        <v>19</v>
      </c>
      <c r="B21" s="29">
        <v>7036536</v>
      </c>
      <c r="C21" s="29" t="str">
        <f ca="1">IFERROR(__xludf.DUMMYFUNCTION("GOOGLETRANSLATE(C3101,""en"",""hr"")"),"Hidraulički cilindar kpl.")</f>
        <v>Hidraulički cilindar kpl.</v>
      </c>
      <c r="D21" s="28" t="s">
        <v>11</v>
      </c>
      <c r="E21" s="29">
        <v>1</v>
      </c>
      <c r="F21" s="17"/>
    </row>
    <row r="22" spans="1:9" ht="25.5" customHeight="1" x14ac:dyDescent="0.2">
      <c r="A22" s="27">
        <v>20</v>
      </c>
      <c r="B22" s="29">
        <v>7037415</v>
      </c>
      <c r="C22" s="29" t="str">
        <f ca="1">IFERROR(__xludf.DUMMYFUNCTION("GOOGLETRANSLATE(C2398,""en"",""hr"")"),"Montažna ploča")</f>
        <v>Montažna ploča</v>
      </c>
      <c r="D22" s="28" t="s">
        <v>11</v>
      </c>
      <c r="E22" s="29">
        <v>1</v>
      </c>
      <c r="F22" s="17"/>
    </row>
    <row r="23" spans="1:9" ht="25.5" customHeight="1" x14ac:dyDescent="0.2">
      <c r="A23" s="27">
        <v>21</v>
      </c>
      <c r="B23" s="29">
        <v>7038332</v>
      </c>
      <c r="C23" s="29" t="str">
        <f ca="1">IFERROR(__xludf.DUMMYFUNCTION("GOOGLETRANSLATE(C6796,""en"",""hr"")"),"BUCHER Logo")</f>
        <v>BUCHER Logo</v>
      </c>
      <c r="D23" s="28" t="s">
        <v>11</v>
      </c>
      <c r="E23" s="29">
        <v>1</v>
      </c>
      <c r="F23" s="17"/>
    </row>
    <row r="24" spans="1:9" ht="25.5" customHeight="1" x14ac:dyDescent="0.2">
      <c r="A24" s="27">
        <v>22</v>
      </c>
      <c r="B24" s="29">
        <v>7038333</v>
      </c>
      <c r="C24" s="29" t="str">
        <f ca="1">IFERROR(__xludf.DUMMYFUNCTION("GOOGLETRANSLATE(C6797,""en"",""hr"")"),"Naljepnica ""Bucher""")</f>
        <v>Naljepnica "Bucher"</v>
      </c>
      <c r="D24" s="28" t="s">
        <v>11</v>
      </c>
      <c r="E24" s="29">
        <v>1</v>
      </c>
      <c r="F24" s="17"/>
    </row>
    <row r="25" spans="1:9" ht="25.5" customHeight="1" x14ac:dyDescent="0.2">
      <c r="A25" s="27">
        <v>23</v>
      </c>
      <c r="B25" s="29">
        <v>7040381</v>
      </c>
      <c r="C25" s="29" t="str">
        <f ca="1">IFERROR(__xludf.DUMMYFUNCTION("GOOGLETRANSLATE(C6800,""en"",""hr"")"),"Ljepljiva ploča")</f>
        <v>Ljepljiva ploča</v>
      </c>
      <c r="D25" s="28" t="s">
        <v>11</v>
      </c>
      <c r="E25" s="29">
        <v>1</v>
      </c>
      <c r="F25" s="17"/>
    </row>
    <row r="26" spans="1:9" ht="25.5" customHeight="1" x14ac:dyDescent="0.2">
      <c r="A26" s="27">
        <v>24</v>
      </c>
      <c r="B26" s="29">
        <v>7041657</v>
      </c>
      <c r="C26" s="29" t="str">
        <f ca="1">IFERROR(__xludf.DUMMYFUNCTION("GOOGLETRANSLATE(C1488,""en"",""hr"")"),"Punjač")</f>
        <v>Punjač</v>
      </c>
      <c r="D26" s="28" t="s">
        <v>11</v>
      </c>
      <c r="E26" s="29">
        <v>1</v>
      </c>
      <c r="F26" s="17"/>
    </row>
    <row r="27" spans="1:9" ht="25.5" customHeight="1" x14ac:dyDescent="0.2">
      <c r="A27" s="27">
        <v>25</v>
      </c>
      <c r="B27" s="29">
        <v>7041692</v>
      </c>
      <c r="C27" s="29" t="str">
        <f ca="1">IFERROR(__xludf.DUMMYFUNCTION("GOOGLETRANSLATE(C5404,""en"",""hr"")"),"Senzor kuta upravljanja")</f>
        <v>Senzor kuta upravljanja</v>
      </c>
      <c r="D27" s="28" t="s">
        <v>11</v>
      </c>
      <c r="E27" s="29">
        <v>1</v>
      </c>
      <c r="F27" s="17"/>
    </row>
    <row r="28" spans="1:9" ht="25.5" customHeight="1" x14ac:dyDescent="0.2">
      <c r="A28" s="27">
        <v>26</v>
      </c>
      <c r="B28" s="29">
        <v>7043031</v>
      </c>
      <c r="C28" s="29" t="str">
        <f ca="1">IFERROR(__xludf.DUMMYFUNCTION("GOOGLETRANSLATE(C1574,""en"",""hr"")"),"Oblikovano crijevo")</f>
        <v>Oblikovano crijevo</v>
      </c>
      <c r="D28" s="28" t="s">
        <v>11</v>
      </c>
      <c r="E28" s="29">
        <v>1</v>
      </c>
      <c r="F28" s="17"/>
    </row>
    <row r="29" spans="1:9" ht="25.5" customHeight="1" x14ac:dyDescent="0.2">
      <c r="A29" s="27">
        <v>27</v>
      </c>
      <c r="B29" s="29">
        <v>7043892</v>
      </c>
      <c r="C29" s="29" t="str">
        <f ca="1">IFERROR(__xludf.DUMMYFUNCTION("GOOGLETRANSLATE(C4968,""en"",""hr"")"),"Prekidač osjetljiv na dodir")</f>
        <v>Prekidač osjetljiv na dodir</v>
      </c>
      <c r="D29" s="28" t="s">
        <v>11</v>
      </c>
      <c r="E29" s="29">
        <v>1</v>
      </c>
      <c r="F29" s="17"/>
    </row>
    <row r="30" spans="1:9" ht="25.5" customHeight="1" x14ac:dyDescent="0.2">
      <c r="A30" s="27">
        <v>28</v>
      </c>
      <c r="B30" s="29">
        <v>7046627</v>
      </c>
      <c r="C30" s="29" t="str">
        <f ca="1">IFERROR(__xludf.DUMMYFUNCTION("GOOGLETRANSLATE(C2099,""en"",""hr"")"),"Disk udaljenosti")</f>
        <v>Disk udaljenosti</v>
      </c>
      <c r="D30" s="28" t="s">
        <v>11</v>
      </c>
      <c r="E30" s="29">
        <v>1</v>
      </c>
      <c r="F30" s="17"/>
    </row>
    <row r="31" spans="1:9" ht="25.5" customHeight="1" x14ac:dyDescent="0.2">
      <c r="A31" s="27">
        <v>29</v>
      </c>
      <c r="B31" s="29">
        <v>7046735</v>
      </c>
      <c r="C31" s="29" t="str">
        <f ca="1">IFERROR(__xludf.DUMMYFUNCTION("GOOGLETRANSLATE(C2750,""en"",""hr"")"),"Držač")</f>
        <v>Držač</v>
      </c>
      <c r="D31" s="28" t="s">
        <v>11</v>
      </c>
      <c r="E31" s="29">
        <v>1</v>
      </c>
      <c r="F31" s="17"/>
      <c r="I31" s="4" t="b">
        <f>INT(F29*100)=(F29*100)</f>
        <v>1</v>
      </c>
    </row>
    <row r="32" spans="1:9" ht="25.5" customHeight="1" x14ac:dyDescent="0.2">
      <c r="A32" s="27">
        <v>30</v>
      </c>
      <c r="B32" s="29">
        <v>7047108</v>
      </c>
      <c r="C32" s="29" t="str">
        <f ca="1">IFERROR(__xludf.DUMMYFUNCTION("GOOGLETRANSLATE(C742,""en"",""hr"")"),"Električni motor")</f>
        <v>Električni motor</v>
      </c>
      <c r="D32" s="28" t="s">
        <v>11</v>
      </c>
      <c r="E32" s="29">
        <v>1</v>
      </c>
      <c r="F32" s="17"/>
    </row>
    <row r="33" spans="1:9" ht="25.5" customHeight="1" x14ac:dyDescent="0.2">
      <c r="A33" s="27">
        <v>31</v>
      </c>
      <c r="B33" s="29">
        <v>7047215</v>
      </c>
      <c r="C33" s="29" t="str">
        <f ca="1">IFERROR(__xludf.DUMMYFUNCTION("GOOGLETRANSLATE(C4257,""en"",""hr"")"),"Traka upozorenja")</f>
        <v>Traka upozorenja</v>
      </c>
      <c r="D33" s="28" t="s">
        <v>11</v>
      </c>
      <c r="E33" s="29">
        <v>1</v>
      </c>
      <c r="F33" s="17"/>
    </row>
    <row r="34" spans="1:9" ht="25.5" customHeight="1" x14ac:dyDescent="0.2">
      <c r="A34" s="27">
        <v>32</v>
      </c>
      <c r="B34" s="29">
        <v>7047322</v>
      </c>
      <c r="C34" s="29" t="str">
        <f ca="1">IFERROR(__xludf.DUMMYFUNCTION("GOOGLETRANSLATE(C70,""en"",""hr"")"),"Sedlo")</f>
        <v>Sedlo</v>
      </c>
      <c r="D34" s="28" t="s">
        <v>11</v>
      </c>
      <c r="E34" s="29">
        <v>1</v>
      </c>
      <c r="F34" s="17"/>
      <c r="I34" s="4" t="b">
        <f>INT(F32*100)=(F32*100)</f>
        <v>1</v>
      </c>
    </row>
    <row r="35" spans="1:9" ht="25.5" customHeight="1" x14ac:dyDescent="0.2">
      <c r="A35" s="27">
        <v>33</v>
      </c>
      <c r="B35" s="29">
        <v>7047613</v>
      </c>
      <c r="C35" s="29" t="str">
        <f ca="1">IFERROR(__xludf.DUMMYFUNCTION("GOOGLETRANSLATE(C81,""en"",""hr"")"),"Poklopac (spojnica)")</f>
        <v>Poklopac (spojnica)</v>
      </c>
      <c r="D35" s="28" t="s">
        <v>11</v>
      </c>
      <c r="E35" s="29">
        <v>1</v>
      </c>
      <c r="F35" s="17"/>
    </row>
    <row r="36" spans="1:9" ht="25.5" customHeight="1" x14ac:dyDescent="0.2">
      <c r="A36" s="27">
        <v>34</v>
      </c>
      <c r="B36" s="29">
        <v>7047872</v>
      </c>
      <c r="C36" s="29" t="str">
        <f ca="1">IFERROR(__xludf.DUMMYFUNCTION("GOOGLETRANSLATE(C6769,""en"",""hr"")"),"Ljepljiva ploča 92 dB")</f>
        <v>Ljepljiva ploča 92 dB</v>
      </c>
      <c r="D36" s="28" t="s">
        <v>11</v>
      </c>
      <c r="E36" s="29">
        <v>1</v>
      </c>
      <c r="F36" s="17"/>
    </row>
    <row r="37" spans="1:9" ht="25.5" customHeight="1" x14ac:dyDescent="0.2">
      <c r="A37" s="27">
        <v>35</v>
      </c>
      <c r="B37" s="29">
        <v>7047873</v>
      </c>
      <c r="C37" s="29" t="str">
        <f ca="1">IFERROR(__xludf.DUMMYFUNCTION("GOOGLETRANSLATE(C6789,""en"",""hr"")"),"Ljepljiva ploča")</f>
        <v>Ljepljiva ploča</v>
      </c>
      <c r="D37" s="28" t="s">
        <v>11</v>
      </c>
      <c r="E37" s="29">
        <v>1</v>
      </c>
      <c r="F37" s="17"/>
    </row>
    <row r="38" spans="1:9" ht="25.5" customHeight="1" x14ac:dyDescent="0.2">
      <c r="A38" s="27">
        <v>36</v>
      </c>
      <c r="B38" s="29">
        <v>7048142</v>
      </c>
      <c r="C38" s="29" t="str">
        <f ca="1">IFERROR(__xludf.DUMMYFUNCTION("GOOGLETRANSLATE(C4214,""en"",""hr"")"),"Držač")</f>
        <v>Držač</v>
      </c>
      <c r="D38" s="28" t="s">
        <v>11</v>
      </c>
      <c r="E38" s="29">
        <v>1</v>
      </c>
      <c r="F38" s="17"/>
      <c r="I38" s="4" t="b">
        <f>INT(F36*100)=(F36*100)</f>
        <v>1</v>
      </c>
    </row>
    <row r="39" spans="1:9" ht="25.5" customHeight="1" x14ac:dyDescent="0.2">
      <c r="A39" s="27">
        <v>37</v>
      </c>
      <c r="B39" s="29">
        <v>7048149</v>
      </c>
      <c r="C39" s="29" t="str">
        <f ca="1">IFERROR(__xludf.DUMMYFUNCTION("GOOGLETRANSLATE(C3868,""en"",""hr"")"),"Držač")</f>
        <v>Držač</v>
      </c>
      <c r="D39" s="28" t="s">
        <v>11</v>
      </c>
      <c r="E39" s="29">
        <v>1</v>
      </c>
      <c r="F39" s="17"/>
    </row>
    <row r="40" spans="1:9" ht="25.5" customHeight="1" x14ac:dyDescent="0.2">
      <c r="A40" s="27">
        <v>38</v>
      </c>
      <c r="B40" s="29">
        <v>7048151</v>
      </c>
      <c r="C40" s="29" t="str">
        <f ca="1">IFERROR(__xludf.DUMMYFUNCTION("GOOGLETRANSLATE(C3871,""en"",""hr"")"),"Vodeći valjak")</f>
        <v>Vodeći valjak</v>
      </c>
      <c r="D40" s="28" t="s">
        <v>11</v>
      </c>
      <c r="E40" s="29">
        <v>1</v>
      </c>
      <c r="F40" s="17"/>
    </row>
    <row r="41" spans="1:9" ht="25.5" customHeight="1" x14ac:dyDescent="0.2">
      <c r="A41" s="27">
        <v>39</v>
      </c>
      <c r="B41" s="29">
        <v>7048152</v>
      </c>
      <c r="C41" s="29" t="str">
        <f ca="1">IFERROR(__xludf.DUMMYFUNCTION("GOOGLETRANSLATE(C3869,""en"",""hr"")"),"podrška")</f>
        <v>podrška</v>
      </c>
      <c r="D41" s="28" t="s">
        <v>11</v>
      </c>
      <c r="E41" s="29">
        <v>1</v>
      </c>
      <c r="F41" s="17"/>
    </row>
    <row r="42" spans="1:9" ht="25.5" customHeight="1" x14ac:dyDescent="0.2">
      <c r="A42" s="27">
        <v>40</v>
      </c>
      <c r="B42" s="29">
        <v>7048153</v>
      </c>
      <c r="C42" s="29" t="str">
        <f ca="1">IFERROR(__xludf.DUMMYFUNCTION("GOOGLETRANSLATE(C4246,""en"",""hr"")"),"Valjak")</f>
        <v>Valjak</v>
      </c>
      <c r="D42" s="28" t="s">
        <v>11</v>
      </c>
      <c r="E42" s="29">
        <v>1</v>
      </c>
      <c r="F42" s="17"/>
    </row>
    <row r="43" spans="1:9" ht="25.5" customHeight="1" x14ac:dyDescent="0.2">
      <c r="A43" s="27">
        <v>41</v>
      </c>
      <c r="B43" s="29">
        <v>7048161</v>
      </c>
      <c r="C43" s="29" t="str">
        <f ca="1">IFERROR(__xludf.DUMMYFUNCTION("GOOGLETRANSLATE(C4174,""en"",""hr"")"),"Razmaknica")</f>
        <v>Razmaknica</v>
      </c>
      <c r="D43" s="28" t="s">
        <v>11</v>
      </c>
      <c r="E43" s="29">
        <v>1</v>
      </c>
      <c r="F43" s="17"/>
    </row>
    <row r="44" spans="1:9" ht="25.5" customHeight="1" x14ac:dyDescent="0.2">
      <c r="A44" s="27">
        <v>42</v>
      </c>
      <c r="B44" s="29">
        <v>7048164</v>
      </c>
      <c r="C44" s="29" t="str">
        <f ca="1">IFERROR(__xludf.DUMMYFUNCTION("GOOGLETRANSLATE(C4224,""en"",""hr"")"),"Okretni")</f>
        <v>Okretni</v>
      </c>
      <c r="D44" s="28" t="s">
        <v>11</v>
      </c>
      <c r="E44" s="29">
        <v>1</v>
      </c>
      <c r="F44" s="17"/>
    </row>
    <row r="45" spans="1:9" ht="25.5" customHeight="1" x14ac:dyDescent="0.2">
      <c r="A45" s="27">
        <v>43</v>
      </c>
      <c r="B45" s="29">
        <v>7048167</v>
      </c>
      <c r="C45" s="29" t="str">
        <f ca="1">IFERROR(__xludf.DUMMYFUNCTION("GOOGLETRANSLATE(C4230,""en"",""hr"")"),"Kućište pužnog mjenjača")</f>
        <v>Kućište pužnog mjenjača</v>
      </c>
      <c r="D45" s="28" t="s">
        <v>11</v>
      </c>
      <c r="E45" s="29">
        <v>1</v>
      </c>
      <c r="F45" s="17"/>
    </row>
    <row r="46" spans="1:9" ht="25.5" customHeight="1" x14ac:dyDescent="0.2">
      <c r="A46" s="27">
        <v>44</v>
      </c>
      <c r="B46" s="29">
        <v>7048168</v>
      </c>
      <c r="C46" s="29" t="str">
        <f ca="1">IFERROR(__xludf.DUMMYFUNCTION("GOOGLETRANSLATE(C4231,""en"",""hr"")"),"Frikcijska podloška")</f>
        <v>Frikcijska podloška</v>
      </c>
      <c r="D46" s="28" t="s">
        <v>11</v>
      </c>
      <c r="E46" s="29">
        <v>1</v>
      </c>
      <c r="F46" s="17"/>
    </row>
    <row r="47" spans="1:9" ht="25.5" customHeight="1" x14ac:dyDescent="0.2">
      <c r="A47" s="27">
        <v>45</v>
      </c>
      <c r="B47" s="29">
        <v>7048169</v>
      </c>
      <c r="C47" s="29" t="str">
        <f ca="1">IFERROR(__xludf.DUMMYFUNCTION("GOOGLETRANSLATE(C4229,""en"",""hr"")"),"Waher, tlak")</f>
        <v>Waher, tlak</v>
      </c>
      <c r="D47" s="28" t="s">
        <v>11</v>
      </c>
      <c r="E47" s="29">
        <v>1</v>
      </c>
      <c r="F47" s="17"/>
    </row>
    <row r="48" spans="1:9" ht="25.5" customHeight="1" x14ac:dyDescent="0.2">
      <c r="A48" s="27">
        <v>46</v>
      </c>
      <c r="B48" s="29">
        <v>7048250</v>
      </c>
      <c r="C48" s="29" t="str">
        <f ca="1">IFERROR(__xludf.DUMMYFUNCTION("GOOGLETRANSLATE(C4226,""en"",""hr"")"),"Distantni rukav")</f>
        <v>Distantni rukav</v>
      </c>
      <c r="D48" s="28" t="s">
        <v>11</v>
      </c>
      <c r="E48" s="29">
        <v>1</v>
      </c>
      <c r="F48" s="17"/>
    </row>
    <row r="49" spans="1:9" ht="25.5" customHeight="1" x14ac:dyDescent="0.2">
      <c r="A49" s="27">
        <v>47</v>
      </c>
      <c r="B49" s="29">
        <v>7048278</v>
      </c>
      <c r="C49" s="29" t="str">
        <f ca="1">IFERROR(__xludf.DUMMYFUNCTION("GOOGLETRANSLATE(C4232,""en"",""hr"")"),"Stop")</f>
        <v>Stop</v>
      </c>
      <c r="D49" s="28" t="s">
        <v>11</v>
      </c>
      <c r="E49" s="29">
        <v>1</v>
      </c>
      <c r="F49" s="17"/>
    </row>
    <row r="50" spans="1:9" ht="25.5" customHeight="1" x14ac:dyDescent="0.2">
      <c r="A50" s="27">
        <v>48</v>
      </c>
      <c r="B50" s="29">
        <v>7048316</v>
      </c>
      <c r="C50" s="29" t="str">
        <f ca="1">IFERROR(__xludf.DUMMYFUNCTION("GOOGLETRANSLATE(C4227,""en"",""hr"")"),"Frikcijska podloška")</f>
        <v>Frikcijska podloška</v>
      </c>
      <c r="D50" s="28" t="s">
        <v>11</v>
      </c>
      <c r="E50" s="29">
        <v>1</v>
      </c>
      <c r="F50" s="17"/>
    </row>
    <row r="51" spans="1:9" ht="25.5" customHeight="1" x14ac:dyDescent="0.2">
      <c r="A51" s="27">
        <v>49</v>
      </c>
      <c r="B51" s="29">
        <v>7048357</v>
      </c>
      <c r="C51" s="29" t="str">
        <f ca="1">IFERROR(__xludf.DUMMYFUNCTION("GOOGLETRANSLATE(C1525,""en"",""hr"")"),"Kompresor klime")</f>
        <v>Kompresor klime</v>
      </c>
      <c r="D51" s="28" t="s">
        <v>11</v>
      </c>
      <c r="E51" s="29">
        <v>1</v>
      </c>
      <c r="F51" s="17"/>
    </row>
    <row r="52" spans="1:9" ht="25.5" customHeight="1" x14ac:dyDescent="0.2">
      <c r="A52" s="27">
        <v>50</v>
      </c>
      <c r="B52" s="29">
        <v>7048416</v>
      </c>
      <c r="C52" s="29" t="str">
        <f ca="1">IFERROR(__xludf.DUMMYFUNCTION("GOOGLETRANSLATE(C1489,""en"",""hr"")"),"Inverter")</f>
        <v>Inverter</v>
      </c>
      <c r="D52" s="28" t="s">
        <v>11</v>
      </c>
      <c r="E52" s="29">
        <v>1</v>
      </c>
      <c r="F52" s="17"/>
    </row>
    <row r="53" spans="1:9" ht="25.5" customHeight="1" x14ac:dyDescent="0.2">
      <c r="A53" s="27">
        <v>51</v>
      </c>
      <c r="B53" s="29">
        <v>7048521</v>
      </c>
      <c r="C53" s="29" t="str">
        <f ca="1">IFERROR(__xludf.DUMMYFUNCTION("GOOGLETRANSLATE(C2328,""en"",""hr"")"),"gas")</f>
        <v>gas</v>
      </c>
      <c r="D53" s="28" t="s">
        <v>11</v>
      </c>
      <c r="E53" s="29">
        <v>1</v>
      </c>
      <c r="F53" s="17"/>
    </row>
    <row r="54" spans="1:9" ht="25.5" customHeight="1" x14ac:dyDescent="0.2">
      <c r="A54" s="27">
        <v>52</v>
      </c>
      <c r="B54" s="29">
        <v>7048889</v>
      </c>
      <c r="C54" s="29" t="str">
        <f ca="1">IFERROR(__xludf.DUMMYFUNCTION("GOOGLETRANSLATE(C3011,""en"",""hr"")"),"Četka za korov")</f>
        <v>Četka za korov</v>
      </c>
      <c r="D54" s="28" t="s">
        <v>11</v>
      </c>
      <c r="E54" s="29">
        <v>1</v>
      </c>
      <c r="F54" s="17"/>
    </row>
    <row r="55" spans="1:9" ht="25.5" customHeight="1" x14ac:dyDescent="0.2">
      <c r="A55" s="27">
        <v>53</v>
      </c>
      <c r="B55" s="29">
        <v>7049423</v>
      </c>
      <c r="C55" s="29" t="str">
        <f ca="1">IFERROR(__xludf.DUMMYFUNCTION("GOOGLETRANSLATE(C6117,""en"",""hr"")"),"Navojni uložak")</f>
        <v>Navojni uložak</v>
      </c>
      <c r="D55" s="28" t="s">
        <v>11</v>
      </c>
      <c r="E55" s="29">
        <v>1</v>
      </c>
      <c r="F55" s="17"/>
    </row>
    <row r="56" spans="1:9" ht="25.5" customHeight="1" x14ac:dyDescent="0.2">
      <c r="A56" s="27">
        <v>54</v>
      </c>
      <c r="B56" s="29">
        <v>7049440</v>
      </c>
      <c r="C56" s="29" t="str">
        <f ca="1">IFERROR(__xludf.DUMMYFUNCTION("GOOGLETRANSLATE(C6110,""en"",""hr"")"),"Ventil za ravnotežu tlaka")</f>
        <v>Ventil za ravnotežu tlaka</v>
      </c>
      <c r="D56" s="28" t="s">
        <v>11</v>
      </c>
      <c r="E56" s="29">
        <v>1</v>
      </c>
      <c r="F56" s="17"/>
      <c r="I56" s="4" t="b">
        <f>INT(F54*100)=(F54*100)</f>
        <v>1</v>
      </c>
    </row>
    <row r="57" spans="1:9" ht="25.5" customHeight="1" x14ac:dyDescent="0.2">
      <c r="A57" s="27">
        <v>55</v>
      </c>
      <c r="B57" s="29">
        <v>7049582</v>
      </c>
      <c r="C57" s="29" t="str">
        <f ca="1">IFERROR(__xludf.DUMMYFUNCTION("GOOGLETRANSLATE(C6122,""en"",""hr"")"),"Mlaznica G M 6 D 1,0")</f>
        <v>Mlaznica G M 6 D 1,0</v>
      </c>
      <c r="D57" s="28" t="s">
        <v>11</v>
      </c>
      <c r="E57" s="29">
        <v>1</v>
      </c>
      <c r="F57" s="17"/>
    </row>
    <row r="58" spans="1:9" ht="25.5" customHeight="1" x14ac:dyDescent="0.2">
      <c r="A58" s="27">
        <v>56</v>
      </c>
      <c r="B58" s="29">
        <v>7049590</v>
      </c>
      <c r="C58" s="29" t="str">
        <f ca="1">IFERROR(__xludf.DUMMYFUNCTION("GOOGLETRANSLATE(C6121,""en"",""hr"")"),"Mlaznica G M 6 D 0,8")</f>
        <v>Mlaznica G M 6 D 0,8</v>
      </c>
      <c r="D58" s="28" t="s">
        <v>11</v>
      </c>
      <c r="E58" s="29">
        <v>1</v>
      </c>
      <c r="F58" s="17"/>
    </row>
    <row r="59" spans="1:9" ht="25.5" customHeight="1" x14ac:dyDescent="0.2">
      <c r="A59" s="27">
        <v>57</v>
      </c>
      <c r="B59" s="29">
        <v>7049596</v>
      </c>
      <c r="C59" s="29" t="str">
        <f ca="1">IFERROR(__xludf.DUMMYFUNCTION("GOOGLETRANSLATE(C6173,""en"",""hr"")"),"Mlaznica G M 6 D 0,6")</f>
        <v>Mlaznica G M 6 D 0,6</v>
      </c>
      <c r="D59" s="28" t="s">
        <v>11</v>
      </c>
      <c r="E59" s="29">
        <v>1</v>
      </c>
      <c r="F59" s="17"/>
      <c r="I59" s="4" t="b">
        <f>INT(F57*100)=(F57*100)</f>
        <v>1</v>
      </c>
    </row>
    <row r="60" spans="1:9" ht="25.5" customHeight="1" x14ac:dyDescent="0.2">
      <c r="A60" s="27">
        <v>58</v>
      </c>
      <c r="B60" s="29">
        <v>7050449</v>
      </c>
      <c r="C60" s="29" t="str">
        <f ca="1">IFERROR(__xludf.DUMMYFUNCTION("GOOGLETRANSLATE(C1360,""en"",""hr"")"),"Filter čestica čađe")</f>
        <v>Filter čestica čađe</v>
      </c>
      <c r="D60" s="28" t="s">
        <v>11</v>
      </c>
      <c r="E60" s="29">
        <v>1</v>
      </c>
      <c r="F60" s="17"/>
    </row>
    <row r="61" spans="1:9" ht="25.5" customHeight="1" x14ac:dyDescent="0.2">
      <c r="A61" s="27">
        <v>59</v>
      </c>
      <c r="B61" s="29">
        <v>7050510</v>
      </c>
      <c r="C61" s="29" t="str">
        <f ca="1">IFERROR(__xludf.DUMMYFUNCTION("GOOGLETRANSLATE(C4223,""en"",""hr"")"),"Plinski cilindar")</f>
        <v>Plinski cilindar</v>
      </c>
      <c r="D61" s="28" t="s">
        <v>11</v>
      </c>
      <c r="E61" s="29">
        <v>1</v>
      </c>
      <c r="F61" s="17"/>
    </row>
    <row r="62" spans="1:9" ht="25.5" customHeight="1" x14ac:dyDescent="0.2">
      <c r="A62" s="27">
        <v>60</v>
      </c>
      <c r="B62" s="29">
        <v>7050578</v>
      </c>
      <c r="C62" s="29" t="str">
        <f ca="1">IFERROR(__xludf.DUMMYFUNCTION("GOOGLETRANSLATE(C676,""en"",""hr"")"),"Upravljački cilindar")</f>
        <v>Upravljački cilindar</v>
      </c>
      <c r="D62" s="28" t="s">
        <v>11</v>
      </c>
      <c r="E62" s="29">
        <v>1</v>
      </c>
      <c r="F62" s="17"/>
    </row>
    <row r="63" spans="1:9" ht="25.5" customHeight="1" x14ac:dyDescent="0.2">
      <c r="A63" s="27">
        <v>61</v>
      </c>
      <c r="B63" s="29">
        <v>7050684</v>
      </c>
      <c r="C63" s="29" t="str">
        <f ca="1">IFERROR(__xludf.DUMMYFUNCTION("GOOGLETRANSLATE(C3045,""en"",""hr"")"),"Usisna usta i usisna cijev kpl.")</f>
        <v>Usisna usta i usisna cijev kpl.</v>
      </c>
      <c r="D63" s="28" t="s">
        <v>11</v>
      </c>
      <c r="E63" s="29">
        <v>1</v>
      </c>
      <c r="F63" s="17"/>
      <c r="I63" s="4" t="b">
        <f>INT(F61*100)=(F61*100)</f>
        <v>1</v>
      </c>
    </row>
    <row r="64" spans="1:9" ht="25.5" customHeight="1" x14ac:dyDescent="0.2">
      <c r="A64" s="27">
        <v>62</v>
      </c>
      <c r="B64" s="29">
        <v>7051072</v>
      </c>
      <c r="C64" s="29" t="str">
        <f ca="1">IFERROR(__xludf.DUMMYFUNCTION("GOOGLETRANSLATE(C1980,""en"",""hr"")"),"Komplet za montažu (četka)")</f>
        <v>Komplet za montažu (četka)</v>
      </c>
      <c r="D64" s="28" t="s">
        <v>11</v>
      </c>
      <c r="E64" s="29">
        <v>1</v>
      </c>
      <c r="F64" s="17"/>
    </row>
    <row r="65" spans="1:6" ht="25.5" customHeight="1" x14ac:dyDescent="0.2">
      <c r="A65" s="27">
        <v>63</v>
      </c>
      <c r="B65" s="29">
        <v>7051074</v>
      </c>
      <c r="C65" s="29" t="str">
        <f ca="1">IFERROR(__xludf.DUMMYFUNCTION("GOOGLETRANSLATE(C1979,""en"",""hr"")"),"Montažna prirubnica kpl.")</f>
        <v>Montažna prirubnica kpl.</v>
      </c>
      <c r="D65" s="28" t="s">
        <v>11</v>
      </c>
      <c r="E65" s="29">
        <v>1</v>
      </c>
      <c r="F65" s="17"/>
    </row>
    <row r="66" spans="1:6" ht="25.5" customHeight="1" x14ac:dyDescent="0.2">
      <c r="A66" s="27">
        <v>64</v>
      </c>
      <c r="B66" s="29">
        <v>7051257</v>
      </c>
      <c r="C66" s="29" t="str">
        <f ca="1">IFERROR(__xludf.DUMMYFUNCTION("GOOGLETRANSLATE(C1529,""en"",""hr"")"),"Inverter")</f>
        <v>Inverter</v>
      </c>
      <c r="D66" s="28" t="s">
        <v>11</v>
      </c>
      <c r="E66" s="29">
        <v>1</v>
      </c>
      <c r="F66" s="17"/>
    </row>
    <row r="67" spans="1:6" ht="25.5" customHeight="1" x14ac:dyDescent="0.2">
      <c r="A67" s="27">
        <v>65</v>
      </c>
      <c r="B67" s="29">
        <v>7051423</v>
      </c>
      <c r="C67" s="29" t="str">
        <f ca="1">IFERROR(__xludf.DUMMYFUNCTION("GOOGLETRANSLATE(C675,""en"",""hr"")"),"Opružni vijak")</f>
        <v>Opružni vijak</v>
      </c>
      <c r="D67" s="28" t="s">
        <v>11</v>
      </c>
      <c r="E67" s="29">
        <v>1</v>
      </c>
      <c r="F67" s="17"/>
    </row>
    <row r="68" spans="1:6" ht="25.5" customHeight="1" x14ac:dyDescent="0.2">
      <c r="A68" s="27">
        <v>66</v>
      </c>
      <c r="B68" s="29">
        <v>7051722</v>
      </c>
      <c r="C68" s="29" t="str">
        <f ca="1">IFERROR(__xludf.DUMMYFUNCTION("GOOGLETRANSLATE(C6162,""en"",""hr"")"),"Povratni ventil")</f>
        <v>Povratni ventil</v>
      </c>
      <c r="D68" s="28" t="s">
        <v>11</v>
      </c>
      <c r="E68" s="29">
        <v>1</v>
      </c>
      <c r="F68" s="17"/>
    </row>
    <row r="69" spans="1:6" ht="25.5" customHeight="1" x14ac:dyDescent="0.2">
      <c r="A69" s="27">
        <v>67</v>
      </c>
      <c r="B69" s="29">
        <v>7052120</v>
      </c>
      <c r="C69" s="29" t="str">
        <f ca="1">IFERROR(__xludf.DUMMYFUNCTION("GOOGLETRANSLATE(C406,""en"",""hr"")"),"Čahura radijalnog ležaja")</f>
        <v>Čahura radijalnog ležaja</v>
      </c>
      <c r="D69" s="28" t="s">
        <v>11</v>
      </c>
      <c r="E69" s="29">
        <v>1</v>
      </c>
      <c r="F69" s="17"/>
    </row>
    <row r="70" spans="1:6" ht="25.5" customHeight="1" x14ac:dyDescent="0.2">
      <c r="A70" s="27">
        <v>68</v>
      </c>
      <c r="B70" s="29">
        <v>7052121</v>
      </c>
      <c r="C70" s="29" t="str">
        <f ca="1">IFERROR(__xludf.DUMMYFUNCTION("GOOGLETRANSLATE(C405,""en"",""hr"")"),"brtva")</f>
        <v>brtva</v>
      </c>
      <c r="D70" s="28" t="s">
        <v>11</v>
      </c>
      <c r="E70" s="29">
        <v>1</v>
      </c>
      <c r="F70" s="17"/>
    </row>
    <row r="71" spans="1:6" ht="25.5" customHeight="1" x14ac:dyDescent="0.2">
      <c r="A71" s="27">
        <v>69</v>
      </c>
      <c r="B71" s="29">
        <v>7052122</v>
      </c>
      <c r="C71" s="29" t="str">
        <f ca="1">IFERROR(__xludf.DUMMYFUNCTION("GOOGLETRANSLATE(C403,""en"",""hr"")"),"Čahura radijalnog ležaja")</f>
        <v>Čahura radijalnog ležaja</v>
      </c>
      <c r="D71" s="28" t="s">
        <v>11</v>
      </c>
      <c r="E71" s="29">
        <v>1</v>
      </c>
      <c r="F71" s="17"/>
    </row>
    <row r="72" spans="1:6" ht="25.5" customHeight="1" x14ac:dyDescent="0.2">
      <c r="A72" s="27">
        <v>70</v>
      </c>
      <c r="B72" s="29">
        <v>7052155</v>
      </c>
      <c r="C72" s="29" t="str">
        <f ca="1">IFERROR(__xludf.DUMMYFUNCTION("GOOGLETRANSLATE(C1396,""en"",""hr"")"),"Adblue spremnik kompletan Euro6c/6d")</f>
        <v>Adblue spremnik kompletan Euro6c/6d</v>
      </c>
      <c r="D72" s="28" t="s">
        <v>11</v>
      </c>
      <c r="E72" s="29">
        <v>1</v>
      </c>
      <c r="F72" s="17"/>
    </row>
    <row r="73" spans="1:6" ht="25.5" customHeight="1" x14ac:dyDescent="0.2">
      <c r="A73" s="27">
        <v>71</v>
      </c>
      <c r="B73" s="29">
        <v>7052482</v>
      </c>
      <c r="C73" s="29" t="str">
        <f ca="1">IFERROR(__xludf.DUMMYFUNCTION("GOOGLETRANSLATE(C1357,""en"",""hr"")"),"Sklop senzora (PM)")</f>
        <v>Sklop senzora (PM)</v>
      </c>
      <c r="D73" s="28" t="s">
        <v>11</v>
      </c>
      <c r="E73" s="29">
        <v>1</v>
      </c>
      <c r="F73" s="17"/>
    </row>
    <row r="74" spans="1:6" ht="25.5" customHeight="1" x14ac:dyDescent="0.2">
      <c r="A74" s="27">
        <v>72</v>
      </c>
      <c r="B74" s="29">
        <v>7053005</v>
      </c>
      <c r="C74" s="29" t="str">
        <f ca="1">IFERROR(__xludf.DUMMYFUNCTION("GOOGLETRANSLATE(C5370,""en"",""hr"")"),"Ruka upravljača lijevo")</f>
        <v>Ruka upravljača lijevo</v>
      </c>
      <c r="D74" s="28" t="s">
        <v>11</v>
      </c>
      <c r="E74" s="29">
        <v>1</v>
      </c>
      <c r="F74" s="17"/>
    </row>
    <row r="75" spans="1:6" ht="25.5" customHeight="1" x14ac:dyDescent="0.2">
      <c r="A75" s="27">
        <v>73</v>
      </c>
      <c r="B75" s="29">
        <v>7053007</v>
      </c>
      <c r="C75" s="29" t="str">
        <f ca="1">IFERROR(__xludf.DUMMYFUNCTION("GOOGLETRANSLATE(C5371,""en"",""hr"")"),"Ruka upravljača desna")</f>
        <v>Ruka upravljača desna</v>
      </c>
      <c r="D75" s="28" t="s">
        <v>11</v>
      </c>
      <c r="E75" s="29">
        <v>1</v>
      </c>
      <c r="F75" s="17"/>
    </row>
    <row r="76" spans="1:6" ht="25.5" customHeight="1" x14ac:dyDescent="0.2">
      <c r="A76" s="27">
        <v>74</v>
      </c>
      <c r="B76" s="29">
        <v>7053009</v>
      </c>
      <c r="C76" s="29" t="str">
        <f ca="1">IFERROR(__xludf.DUMMYFUNCTION("GOOGLETRANSLATE(C5377,""en"",""hr"")"),"Stup upravljača")</f>
        <v>Stup upravljača</v>
      </c>
      <c r="D76" s="28" t="s">
        <v>11</v>
      </c>
      <c r="E76" s="29">
        <v>1</v>
      </c>
      <c r="F76" s="17"/>
    </row>
    <row r="77" spans="1:6" ht="25.5" customHeight="1" x14ac:dyDescent="0.2">
      <c r="A77" s="27">
        <v>75</v>
      </c>
      <c r="B77" s="29">
        <v>7053010</v>
      </c>
      <c r="C77" s="29" t="str">
        <f ca="1">IFERROR(__xludf.DUMMYFUNCTION("GOOGLETRANSLATE(C5343,""en"",""hr"")"),"Stup upravljača")</f>
        <v>Stup upravljača</v>
      </c>
      <c r="D77" s="28" t="s">
        <v>11</v>
      </c>
      <c r="E77" s="29">
        <v>1</v>
      </c>
      <c r="F77" s="17"/>
    </row>
    <row r="78" spans="1:6" ht="25.5" customHeight="1" x14ac:dyDescent="0.2">
      <c r="A78" s="27">
        <v>76</v>
      </c>
      <c r="B78" s="29">
        <v>7053063</v>
      </c>
      <c r="C78" s="29" t="str">
        <f ca="1">IFERROR(__xludf.DUMMYFUNCTION("GOOGLETRANSLATE(C5525,""en"",""hr"")"),"Izmjenjivač topline kpl.")</f>
        <v>Izmjenjivač topline kpl.</v>
      </c>
      <c r="D78" s="28" t="s">
        <v>11</v>
      </c>
      <c r="E78" s="29">
        <v>1</v>
      </c>
      <c r="F78" s="17"/>
    </row>
    <row r="79" spans="1:6" ht="25.5" customHeight="1" x14ac:dyDescent="0.2">
      <c r="A79" s="27">
        <v>77</v>
      </c>
      <c r="B79" s="29">
        <v>7053065</v>
      </c>
      <c r="C79" s="29" t="str">
        <f ca="1">IFERROR(__xludf.DUMMYFUNCTION("GOOGLETRANSLATE(C5527,""en"",""hr"")"),"Kondenzator i ventilator")</f>
        <v>Kondenzator i ventilator</v>
      </c>
      <c r="D79" s="28" t="s">
        <v>11</v>
      </c>
      <c r="E79" s="29">
        <v>1</v>
      </c>
      <c r="F79" s="17"/>
    </row>
    <row r="80" spans="1:6" ht="25.5" customHeight="1" x14ac:dyDescent="0.2">
      <c r="A80" s="27">
        <v>78</v>
      </c>
      <c r="B80" s="29">
        <v>7053134</v>
      </c>
      <c r="C80" s="29" t="str">
        <f ca="1">IFERROR(__xludf.DUMMYFUNCTION("GOOGLETRANSLATE(C6679,""en"",""hr"")"),"Kabel adaptera")</f>
        <v>Kabel adaptera</v>
      </c>
      <c r="D80" s="28" t="s">
        <v>11</v>
      </c>
      <c r="E80" s="29">
        <v>1</v>
      </c>
      <c r="F80" s="17"/>
    </row>
    <row r="81" spans="1:9" ht="25.5" customHeight="1" x14ac:dyDescent="0.2">
      <c r="A81" s="27">
        <v>79</v>
      </c>
      <c r="B81" s="29">
        <v>7053138</v>
      </c>
      <c r="C81" s="29" t="str">
        <f ca="1">IFERROR(__xludf.DUMMYFUNCTION("GOOGLETRANSLATE(C6680,""en"",""hr"")"),"Kabel adaptera")</f>
        <v>Kabel adaptera</v>
      </c>
      <c r="D81" s="28" t="s">
        <v>11</v>
      </c>
      <c r="E81" s="29">
        <v>1</v>
      </c>
      <c r="F81" s="17"/>
    </row>
    <row r="82" spans="1:9" ht="25.5" customHeight="1" x14ac:dyDescent="0.2">
      <c r="A82" s="27">
        <v>80</v>
      </c>
      <c r="B82" s="29">
        <v>7053351</v>
      </c>
      <c r="C82" s="29" t="str">
        <f ca="1">IFERROR(__xludf.DUMMYFUNCTION("GOOGLETRANSLATE(C459,""en"",""hr"")"),"Čahura s prorezima")</f>
        <v>Čahura s prorezima</v>
      </c>
      <c r="D82" s="28" t="s">
        <v>11</v>
      </c>
      <c r="E82" s="29">
        <v>1</v>
      </c>
      <c r="F82" s="17"/>
      <c r="I82" s="4" t="b">
        <f>INT(F80*100)=(F80*100)</f>
        <v>1</v>
      </c>
    </row>
    <row r="83" spans="1:9" ht="25.5" customHeight="1" x14ac:dyDescent="0.2">
      <c r="A83" s="27">
        <v>81</v>
      </c>
      <c r="B83" s="29">
        <v>7053443</v>
      </c>
      <c r="C83" s="29" t="str">
        <f ca="1">IFERROR(__xludf.DUMMYFUNCTION("GOOGLETRANSLATE(C242,""en"",""hr"")"),"Cijev za punjenje zraka Filter-Turbo")</f>
        <v>Cijev za punjenje zraka Filter-Turbo</v>
      </c>
      <c r="D83" s="28" t="s">
        <v>11</v>
      </c>
      <c r="E83" s="29">
        <v>1</v>
      </c>
      <c r="F83" s="17"/>
    </row>
    <row r="84" spans="1:9" ht="25.5" customHeight="1" x14ac:dyDescent="0.2">
      <c r="A84" s="27">
        <v>82</v>
      </c>
      <c r="B84" s="29">
        <v>7053468</v>
      </c>
      <c r="C84" s="29" t="str">
        <f ca="1">IFERROR(__xludf.DUMMYFUNCTION("GOOGLETRANSLATE(C1909,""en"",""hr"")"),"Napetost opruge")</f>
        <v>Napetost opruge</v>
      </c>
      <c r="D84" s="28" t="s">
        <v>11</v>
      </c>
      <c r="E84" s="29">
        <v>1</v>
      </c>
      <c r="F84" s="17"/>
    </row>
    <row r="85" spans="1:9" ht="25.5" customHeight="1" x14ac:dyDescent="0.2">
      <c r="A85" s="27">
        <v>83</v>
      </c>
      <c r="B85" s="29">
        <v>7053502</v>
      </c>
      <c r="C85" s="29" t="str">
        <f ca="1">IFERROR(__xludf.DUMMYFUNCTION("GOOGLETRANSLATE(C1413,""en"",""hr"")"),"Držač")</f>
        <v>Držač</v>
      </c>
      <c r="D85" s="28" t="s">
        <v>11</v>
      </c>
      <c r="E85" s="29">
        <v>1</v>
      </c>
      <c r="F85" s="17"/>
      <c r="I85" s="4" t="b">
        <f>INT(F83*100)=(F83*100)</f>
        <v>1</v>
      </c>
    </row>
    <row r="86" spans="1:9" ht="25.5" customHeight="1" x14ac:dyDescent="0.2">
      <c r="A86" s="27">
        <v>84</v>
      </c>
      <c r="B86" s="29">
        <v>7053538</v>
      </c>
      <c r="C86" s="29" t="str">
        <f ca="1">IFERROR(__xludf.DUMMYFUNCTION("GOOGLETRANSLATE(C974,""en"",""hr"")"),"Kontrolna jedinica")</f>
        <v>Kontrolna jedinica</v>
      </c>
      <c r="D86" s="28" t="s">
        <v>11</v>
      </c>
      <c r="E86" s="29">
        <v>1</v>
      </c>
      <c r="F86" s="17"/>
    </row>
    <row r="87" spans="1:9" ht="25.5" customHeight="1" x14ac:dyDescent="0.2">
      <c r="A87" s="27">
        <v>85</v>
      </c>
      <c r="B87" s="29">
        <v>7053574</v>
      </c>
      <c r="C87" s="29" t="str">
        <f ca="1">IFERROR(__xludf.DUMMYFUNCTION("GOOGLETRANSLATE(C4360,""en"",""hr"")"),"Kotač za trčanje")</f>
        <v>Kotač za trčanje</v>
      </c>
      <c r="D87" s="28" t="s">
        <v>11</v>
      </c>
      <c r="E87" s="29">
        <v>1</v>
      </c>
      <c r="F87" s="17"/>
    </row>
    <row r="88" spans="1:9" ht="25.5" customHeight="1" x14ac:dyDescent="0.2">
      <c r="A88" s="27">
        <v>86</v>
      </c>
      <c r="B88" s="29">
        <v>7053610</v>
      </c>
      <c r="C88" s="29" t="str">
        <f ca="1">IFERROR(__xludf.DUMMYFUNCTION("GOOGLETRANSLATE(C1351,""en"",""hr"")"),"Cijev")</f>
        <v>Cijev</v>
      </c>
      <c r="D88" s="28" t="s">
        <v>11</v>
      </c>
      <c r="E88" s="29">
        <v>1</v>
      </c>
      <c r="F88" s="17"/>
    </row>
    <row r="89" spans="1:9" ht="25.5" customHeight="1" x14ac:dyDescent="0.2">
      <c r="A89" s="27">
        <v>87</v>
      </c>
      <c r="B89" s="29">
        <v>7053622</v>
      </c>
      <c r="C89" s="29" t="str">
        <f ca="1">IFERROR(__xludf.DUMMYFUNCTION("GOOGLETRANSLATE(C1352,""en"",""hr"")"),"Cijev")</f>
        <v>Cijev</v>
      </c>
      <c r="D89" s="28" t="s">
        <v>11</v>
      </c>
      <c r="E89" s="29">
        <v>1</v>
      </c>
      <c r="F89" s="17"/>
      <c r="I89" s="4" t="b">
        <f>INT(F87*100)=(F87*100)</f>
        <v>1</v>
      </c>
    </row>
    <row r="90" spans="1:9" ht="25.5" customHeight="1" x14ac:dyDescent="0.2">
      <c r="A90" s="27">
        <v>88</v>
      </c>
      <c r="B90" s="29">
        <v>7053650</v>
      </c>
      <c r="C90" s="29" t="str">
        <f ca="1">IFERROR(__xludf.DUMMYFUNCTION("GOOGLETRANSLATE(C48,""en"",""hr"")"),"Gumena brtva")</f>
        <v>Gumena brtva</v>
      </c>
      <c r="D90" s="28" t="s">
        <v>11</v>
      </c>
      <c r="E90" s="29">
        <v>1</v>
      </c>
      <c r="F90" s="17"/>
    </row>
    <row r="91" spans="1:9" ht="25.5" customHeight="1" x14ac:dyDescent="0.2">
      <c r="A91" s="27">
        <v>89</v>
      </c>
      <c r="B91" s="29">
        <v>7053651</v>
      </c>
      <c r="C91" s="29" t="str">
        <f ca="1">IFERROR(__xludf.DUMMYFUNCTION("GOOGLETRANSLATE(C4266,""en"",""hr"")"),"Stezni prsten")</f>
        <v>Stezni prsten</v>
      </c>
      <c r="D91" s="28" t="s">
        <v>11</v>
      </c>
      <c r="E91" s="29">
        <v>1</v>
      </c>
      <c r="F91" s="17"/>
    </row>
    <row r="92" spans="1:9" ht="25.5" customHeight="1" x14ac:dyDescent="0.2">
      <c r="A92" s="27">
        <v>90</v>
      </c>
      <c r="B92" s="29">
        <v>7053658</v>
      </c>
      <c r="C92" s="29" t="str">
        <f ca="1">IFERROR(__xludf.DUMMYFUNCTION("GOOGLETRANSLATE(C4416,""en"",""hr"")"),"Držač vijaka")</f>
        <v>Držač vijaka</v>
      </c>
      <c r="D92" s="28" t="s">
        <v>11</v>
      </c>
      <c r="E92" s="29">
        <v>1</v>
      </c>
      <c r="F92" s="17"/>
    </row>
    <row r="93" spans="1:9" ht="25.5" customHeight="1" x14ac:dyDescent="0.2">
      <c r="A93" s="27">
        <v>91</v>
      </c>
      <c r="B93" s="29">
        <v>7053685</v>
      </c>
      <c r="C93" s="29" t="str">
        <f ca="1">IFERROR(__xludf.DUMMYFUNCTION("GOOGLETRANSLATE(C4307,""en"",""hr"")"),"Poklopac")</f>
        <v>Poklopac</v>
      </c>
      <c r="D93" s="28" t="s">
        <v>11</v>
      </c>
      <c r="E93" s="29">
        <v>1</v>
      </c>
      <c r="F93" s="17"/>
    </row>
    <row r="94" spans="1:9" ht="25.5" customHeight="1" x14ac:dyDescent="0.2">
      <c r="A94" s="27">
        <v>92</v>
      </c>
      <c r="B94" s="29">
        <v>7053690</v>
      </c>
      <c r="C94" s="29" t="str">
        <f ca="1">IFERROR(__xludf.DUMMYFUNCTION("GOOGLETRANSLATE(C4343,""en"",""hr"")"),"Držač ventila za rekuperaciju")</f>
        <v>Držač ventila za rekuperaciju</v>
      </c>
      <c r="D94" s="28" t="s">
        <v>11</v>
      </c>
      <c r="E94" s="29">
        <v>1</v>
      </c>
      <c r="F94" s="17"/>
    </row>
    <row r="95" spans="1:9" ht="25.5" customHeight="1" x14ac:dyDescent="0.2">
      <c r="A95" s="27">
        <v>93</v>
      </c>
      <c r="B95" s="29">
        <v>7053692</v>
      </c>
      <c r="C95" s="29" t="str">
        <f ca="1">IFERROR(__xludf.DUMMYFUNCTION("GOOGLETRANSLATE(C4339,""en"",""hr"")"),"Ventil za rekuperaciju kpl.")</f>
        <v>Ventil za rekuperaciju kpl.</v>
      </c>
      <c r="D95" s="28" t="s">
        <v>11</v>
      </c>
      <c r="E95" s="29">
        <v>1</v>
      </c>
      <c r="F95" s="17"/>
    </row>
    <row r="96" spans="1:9" ht="25.5" customHeight="1" x14ac:dyDescent="0.2">
      <c r="A96" s="27">
        <v>94</v>
      </c>
      <c r="B96" s="29">
        <v>7053696</v>
      </c>
      <c r="C96" s="29" t="str">
        <f ca="1">IFERROR(__xludf.DUMMYFUNCTION("GOOGLETRANSLATE(C4309,""en"",""hr"")"),"Bočna vodilica")</f>
        <v>Bočna vodilica</v>
      </c>
      <c r="D96" s="28" t="s">
        <v>11</v>
      </c>
      <c r="E96" s="29">
        <v>1</v>
      </c>
      <c r="F96" s="17"/>
    </row>
    <row r="97" spans="1:9" ht="25.5" customHeight="1" x14ac:dyDescent="0.2">
      <c r="A97" s="27">
        <v>95</v>
      </c>
      <c r="B97" s="29">
        <v>7053863</v>
      </c>
      <c r="C97" s="29" t="str">
        <f ca="1">IFERROR(__xludf.DUMMYFUNCTION("GOOGLETRANSLATE(C1147,""en"",""hr"")"),"Adapter")</f>
        <v>Adapter</v>
      </c>
      <c r="D97" s="28" t="s">
        <v>11</v>
      </c>
      <c r="E97" s="29">
        <v>1</v>
      </c>
      <c r="F97" s="17"/>
    </row>
    <row r="98" spans="1:9" ht="25.5" customHeight="1" x14ac:dyDescent="0.2">
      <c r="A98" s="27">
        <v>96</v>
      </c>
      <c r="B98" s="29">
        <v>7053932</v>
      </c>
      <c r="C98" s="29" t="str">
        <f ca="1">IFERROR(__xludf.DUMMYFUNCTION("GOOGLETRANSLATE(C4418,""en"",""hr"")"),"Međuspremnik disk")</f>
        <v>Međuspremnik disk</v>
      </c>
      <c r="D98" s="28" t="s">
        <v>11</v>
      </c>
      <c r="E98" s="29">
        <v>1</v>
      </c>
      <c r="F98" s="17"/>
    </row>
    <row r="99" spans="1:9" ht="25.5" customHeight="1" x14ac:dyDescent="0.2">
      <c r="A99" s="27">
        <v>97</v>
      </c>
      <c r="B99" s="29">
        <v>7053972</v>
      </c>
      <c r="C99" s="29" t="str">
        <f ca="1">IFERROR(__xludf.DUMMYFUNCTION("GOOGLETRANSLATE(C704,""en"",""hr"")"),"Pogon na kotačima")</f>
        <v>Pogon na kotačima</v>
      </c>
      <c r="D99" s="28" t="s">
        <v>11</v>
      </c>
      <c r="E99" s="29">
        <v>1</v>
      </c>
      <c r="F99" s="17"/>
    </row>
    <row r="100" spans="1:9" ht="25.5" customHeight="1" x14ac:dyDescent="0.2">
      <c r="A100" s="27">
        <v>98</v>
      </c>
      <c r="B100" s="29">
        <v>7053990</v>
      </c>
      <c r="C100" s="29" t="str">
        <f ca="1">IFERROR(__xludf.DUMMYFUNCTION("GOOGLETRANSLATE(C4329,""en"",""hr"")"),"Poklopna ploča")</f>
        <v>Poklopna ploča</v>
      </c>
      <c r="D100" s="28" t="s">
        <v>11</v>
      </c>
      <c r="E100" s="29">
        <v>1</v>
      </c>
      <c r="F100" s="17"/>
    </row>
    <row r="101" spans="1:9" ht="25.5" customHeight="1" x14ac:dyDescent="0.2">
      <c r="A101" s="27">
        <v>99</v>
      </c>
      <c r="B101" s="29">
        <v>7053998</v>
      </c>
      <c r="C101" s="29" t="str">
        <f ca="1">IFERROR(__xludf.DUMMYFUNCTION("GOOGLETRANSLATE(C932,""en"",""hr"")"),"Držač")</f>
        <v>Držač</v>
      </c>
      <c r="D101" s="28" t="s">
        <v>11</v>
      </c>
      <c r="E101" s="29">
        <v>1</v>
      </c>
      <c r="F101" s="17"/>
    </row>
    <row r="102" spans="1:9" ht="25.5" customHeight="1" x14ac:dyDescent="0.2">
      <c r="A102" s="27">
        <v>100</v>
      </c>
      <c r="B102" s="29">
        <v>7053999</v>
      </c>
      <c r="C102" s="29" t="str">
        <f ca="1">IFERROR(__xludf.DUMMYFUNCTION("GOOGLETRANSLATE(C934,""en"",""hr"")"),"Držač")</f>
        <v>Držač</v>
      </c>
      <c r="D102" s="28" t="s">
        <v>11</v>
      </c>
      <c r="E102" s="29">
        <v>1</v>
      </c>
      <c r="F102" s="17"/>
    </row>
    <row r="103" spans="1:9" ht="25.5" customHeight="1" x14ac:dyDescent="0.2">
      <c r="A103" s="27">
        <v>101</v>
      </c>
      <c r="B103" s="29">
        <v>7054066</v>
      </c>
      <c r="C103" s="29" t="str">
        <f ca="1">IFERROR(__xludf.DUMMYFUNCTION("GOOGLETRANSLATE(C1213,""en"",""hr"")"),"Isječak")</f>
        <v>Isječak</v>
      </c>
      <c r="D103" s="28" t="s">
        <v>11</v>
      </c>
      <c r="E103" s="29">
        <v>1</v>
      </c>
      <c r="F103" s="17"/>
    </row>
    <row r="104" spans="1:9" ht="25.5" customHeight="1" x14ac:dyDescent="0.2">
      <c r="A104" s="27">
        <v>102</v>
      </c>
      <c r="B104" s="29">
        <v>7054169</v>
      </c>
      <c r="C104" s="29" t="str">
        <f ca="1">IFERROR(__xludf.DUMMYFUNCTION("GOOGLETRANSLATE(C1928,""en"",""hr"")"),"Bočna metla unaprijed sastavljena lijevo")</f>
        <v>Bočna metla unaprijed sastavljena lijevo</v>
      </c>
      <c r="D104" s="28" t="s">
        <v>11</v>
      </c>
      <c r="E104" s="29">
        <v>1</v>
      </c>
      <c r="F104" s="17"/>
    </row>
    <row r="105" spans="1:9" ht="25.5" customHeight="1" x14ac:dyDescent="0.2">
      <c r="A105" s="27">
        <v>103</v>
      </c>
      <c r="B105" s="29">
        <v>7054176</v>
      </c>
      <c r="C105" s="29" t="str">
        <f ca="1">IFERROR(__xludf.DUMMYFUNCTION("GOOGLETRANSLATE(C402,""en"",""hr"")"),"Artikulacija")</f>
        <v>Artikulacija</v>
      </c>
      <c r="D105" s="28" t="s">
        <v>11</v>
      </c>
      <c r="E105" s="29">
        <v>1</v>
      </c>
      <c r="F105" s="17"/>
    </row>
    <row r="106" spans="1:9" ht="25.5" customHeight="1" x14ac:dyDescent="0.2">
      <c r="A106" s="27">
        <v>104</v>
      </c>
      <c r="B106" s="29">
        <v>7054186</v>
      </c>
      <c r="C106" s="29" t="str">
        <f ca="1">IFERROR(__xludf.DUMMYFUNCTION("GOOGLETRANSLATE(C618,""en"",""hr"")"),"Prirubnica ležaja")</f>
        <v>Prirubnica ležaja</v>
      </c>
      <c r="D106" s="28" t="s">
        <v>11</v>
      </c>
      <c r="E106" s="29">
        <v>1</v>
      </c>
      <c r="F106" s="17"/>
    </row>
    <row r="107" spans="1:9" ht="25.5" customHeight="1" x14ac:dyDescent="0.2">
      <c r="A107" s="27">
        <v>105</v>
      </c>
      <c r="B107" s="29">
        <v>7054187</v>
      </c>
      <c r="C107" s="29" t="str">
        <f ca="1">IFERROR(__xludf.DUMMYFUNCTION("GOOGLETRANSLATE(C791,""en"",""hr"")"),"Glavčina kotača")</f>
        <v>Glavčina kotača</v>
      </c>
      <c r="D107" s="28" t="s">
        <v>11</v>
      </c>
      <c r="E107" s="29">
        <v>1</v>
      </c>
      <c r="F107" s="17"/>
      <c r="I107" s="4" t="b">
        <f>INT(F105*100)=(F105*100)</f>
        <v>1</v>
      </c>
    </row>
    <row r="108" spans="1:9" ht="25.5" customHeight="1" x14ac:dyDescent="0.2">
      <c r="A108" s="27">
        <v>106</v>
      </c>
      <c r="B108" s="29">
        <v>7054190</v>
      </c>
      <c r="C108" s="29" t="str">
        <f ca="1">IFERROR(__xludf.DUMMYFUNCTION("GOOGLETRANSLATE(C792,""en"",""hr"")"),"Prirubnica adaptera")</f>
        <v>Prirubnica adaptera</v>
      </c>
      <c r="D108" s="28" t="s">
        <v>11</v>
      </c>
      <c r="E108" s="29">
        <v>1</v>
      </c>
      <c r="F108" s="17"/>
    </row>
    <row r="109" spans="1:9" ht="25.5" customHeight="1" x14ac:dyDescent="0.2">
      <c r="A109" s="27">
        <v>107</v>
      </c>
      <c r="B109" s="29">
        <v>7054196</v>
      </c>
      <c r="C109" s="29" t="str">
        <f ca="1">IFERROR(__xludf.DUMMYFUNCTION("GOOGLETRANSLATE(C741,""en"",""hr"")"),"Prtljažnik kotača kpl. lijevo")</f>
        <v>Prtljažnik kotača kpl. lijevo</v>
      </c>
      <c r="D109" s="28" t="s">
        <v>11</v>
      </c>
      <c r="E109" s="29">
        <v>1</v>
      </c>
      <c r="F109" s="17"/>
    </row>
    <row r="110" spans="1:9" ht="25.5" customHeight="1" x14ac:dyDescent="0.2">
      <c r="A110" s="27">
        <v>108</v>
      </c>
      <c r="B110" s="29">
        <v>7054241</v>
      </c>
      <c r="C110" s="29" t="str">
        <f ca="1">IFERROR(__xludf.DUMMYFUNCTION("GOOGLETRANSLATE(C6364,""en"",""hr"")"),"Upravljačka jedinica BCM")</f>
        <v>Upravljačka jedinica BCM</v>
      </c>
      <c r="D110" s="28" t="s">
        <v>11</v>
      </c>
      <c r="E110" s="29">
        <v>1</v>
      </c>
      <c r="F110" s="17"/>
      <c r="I110" s="4" t="b">
        <f>INT(F108*100)=(F108*100)</f>
        <v>1</v>
      </c>
    </row>
    <row r="111" spans="1:9" ht="25.5" customHeight="1" x14ac:dyDescent="0.2">
      <c r="A111" s="27">
        <v>109</v>
      </c>
      <c r="B111" s="29">
        <v>7054265</v>
      </c>
      <c r="C111" s="29" t="str">
        <f ca="1">IFERROR(__xludf.DUMMYFUNCTION("GOOGLETRANSLATE(C1944,""en"",""hr"")"),"Spojna ploča")</f>
        <v>Spojna ploča</v>
      </c>
      <c r="D111" s="28" t="s">
        <v>11</v>
      </c>
      <c r="E111" s="29">
        <v>1</v>
      </c>
      <c r="F111" s="17"/>
    </row>
    <row r="112" spans="1:9" ht="25.5" customHeight="1" x14ac:dyDescent="0.2">
      <c r="A112" s="27">
        <v>110</v>
      </c>
      <c r="B112" s="29">
        <v>7054286</v>
      </c>
      <c r="C112" s="29" t="str">
        <f ca="1">IFERROR(__xludf.DUMMYFUNCTION("GOOGLETRANSLATE(C6363,""en"",""hr"")"),"Upravljačka jedinica JCM")</f>
        <v>Upravljačka jedinica JCM</v>
      </c>
      <c r="D112" s="28" t="s">
        <v>11</v>
      </c>
      <c r="E112" s="29">
        <v>1</v>
      </c>
      <c r="F112" s="17"/>
    </row>
    <row r="113" spans="1:9" ht="25.5" customHeight="1" x14ac:dyDescent="0.2">
      <c r="A113" s="27">
        <v>111</v>
      </c>
      <c r="B113" s="29">
        <v>7054322</v>
      </c>
      <c r="C113" s="29" t="str">
        <f ca="1">IFERROR(__xludf.DUMMYFUNCTION("GOOGLETRANSLATE(C1091,""en"",""hr"")"),"Spremnik goriva kpl. NA")</f>
        <v>Spremnik goriva kpl. NA</v>
      </c>
      <c r="D113" s="28" t="s">
        <v>11</v>
      </c>
      <c r="E113" s="29">
        <v>1</v>
      </c>
      <c r="F113" s="17"/>
    </row>
    <row r="114" spans="1:9" ht="25.5" customHeight="1" x14ac:dyDescent="0.2">
      <c r="A114" s="27">
        <v>112</v>
      </c>
      <c r="B114" s="29">
        <v>7054341</v>
      </c>
      <c r="C114" s="29" t="str">
        <f ca="1">IFERROR(__xludf.DUMMYFUNCTION("GOOGLETRANSLATE(C3091,""en"",""hr"")"),"Usisna usta")</f>
        <v>Usisna usta</v>
      </c>
      <c r="D114" s="28" t="s">
        <v>11</v>
      </c>
      <c r="E114" s="29">
        <v>1</v>
      </c>
      <c r="F114" s="17"/>
      <c r="I114" s="4" t="b">
        <f>INT(F112*100)=(F112*100)</f>
        <v>1</v>
      </c>
    </row>
    <row r="115" spans="1:9" ht="25.5" customHeight="1" x14ac:dyDescent="0.2">
      <c r="A115" s="27">
        <v>113</v>
      </c>
      <c r="B115" s="29">
        <v>7054356</v>
      </c>
      <c r="C115" s="29" t="str">
        <f ca="1">IFERROR(__xludf.DUMMYFUNCTION("GOOGLETRANSLATE(C3049,""en"",""hr"")"),"Usisna usta kpl.")</f>
        <v>Usisna usta kpl.</v>
      </c>
      <c r="D115" s="28" t="s">
        <v>11</v>
      </c>
      <c r="E115" s="29">
        <v>1</v>
      </c>
      <c r="F115" s="17"/>
    </row>
    <row r="116" spans="1:9" ht="25.5" customHeight="1" x14ac:dyDescent="0.2">
      <c r="A116" s="27">
        <v>114</v>
      </c>
      <c r="B116" s="29">
        <v>7054417</v>
      </c>
      <c r="C116" s="29" t="str">
        <f ca="1">IFERROR(__xludf.DUMMYFUNCTION("GOOGLETRANSLATE(C3944,""en"",""hr"")"),"Hidraulički blok kpl.")</f>
        <v>Hidraulički blok kpl.</v>
      </c>
      <c r="D116" s="28" t="s">
        <v>11</v>
      </c>
      <c r="E116" s="29">
        <v>1</v>
      </c>
      <c r="F116" s="17"/>
    </row>
    <row r="117" spans="1:9" ht="25.5" customHeight="1" x14ac:dyDescent="0.2">
      <c r="A117" s="27">
        <v>115</v>
      </c>
      <c r="B117" s="29">
        <v>7054424</v>
      </c>
      <c r="C117" s="29" t="str">
        <f ca="1">IFERROR(__xludf.DUMMYFUNCTION("GOOGLETRANSLATE(C5778,""en"",""hr"")"),"Držač pumpe")</f>
        <v>Držač pumpe</v>
      </c>
      <c r="D117" s="28" t="s">
        <v>11</v>
      </c>
      <c r="E117" s="29">
        <v>1</v>
      </c>
      <c r="F117" s="17"/>
    </row>
    <row r="118" spans="1:9" ht="25.5" customHeight="1" x14ac:dyDescent="0.2">
      <c r="A118" s="27">
        <v>116</v>
      </c>
      <c r="B118" s="29">
        <v>7054438</v>
      </c>
      <c r="C118" s="29" t="str">
        <f ca="1">IFERROR(__xludf.DUMMYFUNCTION("GOOGLETRANSLATE(C494,""en"",""hr"")"),"Lisnata opruga")</f>
        <v>Lisnata opruga</v>
      </c>
      <c r="D118" s="28" t="s">
        <v>11</v>
      </c>
      <c r="E118" s="29">
        <v>1</v>
      </c>
      <c r="F118" s="17"/>
    </row>
    <row r="119" spans="1:9" ht="25.5" customHeight="1" x14ac:dyDescent="0.2">
      <c r="A119" s="27">
        <v>117</v>
      </c>
      <c r="B119" s="29">
        <v>7054452</v>
      </c>
      <c r="C119" s="29" t="str">
        <f ca="1">IFERROR(__xludf.DUMMYFUNCTION("GOOGLETRANSLATE(C4467,""en"",""hr"")"),"Vijak")</f>
        <v>Vijak</v>
      </c>
      <c r="D119" s="28" t="s">
        <v>11</v>
      </c>
      <c r="E119" s="29">
        <v>1</v>
      </c>
      <c r="F119" s="17"/>
    </row>
    <row r="120" spans="1:9" ht="25.5" customHeight="1" x14ac:dyDescent="0.2">
      <c r="A120" s="27">
        <v>118</v>
      </c>
      <c r="B120" s="29">
        <v>7054467</v>
      </c>
      <c r="C120" s="29" t="str">
        <f ca="1">IFERROR(__xludf.DUMMYFUNCTION("GOOGLETRANSLATE(C4466,""en"",""hr"")"),"Nagnuta rešetka")</f>
        <v>Nagnuta rešetka</v>
      </c>
      <c r="D120" s="28" t="s">
        <v>11</v>
      </c>
      <c r="E120" s="29">
        <v>1</v>
      </c>
      <c r="F120" s="17"/>
    </row>
    <row r="121" spans="1:9" ht="25.5" customHeight="1" x14ac:dyDescent="0.2">
      <c r="A121" s="27">
        <v>119</v>
      </c>
      <c r="B121" s="29">
        <v>7054492</v>
      </c>
      <c r="C121" s="29" t="str">
        <f ca="1">IFERROR(__xludf.DUMMYFUNCTION("GOOGLETRANSLATE(C1911,""en"",""hr"")"),"Napetost opruge")</f>
        <v>Napetost opruge</v>
      </c>
      <c r="D121" s="28" t="s">
        <v>11</v>
      </c>
      <c r="E121" s="29">
        <v>1</v>
      </c>
      <c r="F121" s="17"/>
    </row>
    <row r="122" spans="1:9" ht="25.5" customHeight="1" x14ac:dyDescent="0.2">
      <c r="A122" s="27">
        <v>120</v>
      </c>
      <c r="B122" s="29">
        <v>7054565</v>
      </c>
      <c r="C122" s="29" t="str">
        <f ca="1">IFERROR(__xludf.DUMMYFUNCTION("GOOGLETRANSLATE(C1424,""en"",""hr"")"),"Komplet rezervnih dijelova AdBlue+rashladne linije")</f>
        <v>Komplet rezervnih dijelova AdBlue+rashladne linije</v>
      </c>
      <c r="D122" s="28" t="s">
        <v>11</v>
      </c>
      <c r="E122" s="29">
        <v>1</v>
      </c>
      <c r="F122" s="17"/>
    </row>
    <row r="123" spans="1:9" ht="25.5" customHeight="1" x14ac:dyDescent="0.2">
      <c r="A123" s="27">
        <v>121</v>
      </c>
      <c r="B123" s="29">
        <v>7054568</v>
      </c>
      <c r="C123" s="29" t="str">
        <f ca="1">IFERROR(__xludf.DUMMYFUNCTION("GOOGLETRANSLATE(C1350,""en"",""hr"")"),"Cijev")</f>
        <v>Cijev</v>
      </c>
      <c r="D123" s="28" t="s">
        <v>11</v>
      </c>
      <c r="E123" s="29">
        <v>1</v>
      </c>
      <c r="F123" s="17"/>
    </row>
    <row r="124" spans="1:9" ht="25.5" customHeight="1" x14ac:dyDescent="0.2">
      <c r="A124" s="27">
        <v>122</v>
      </c>
      <c r="B124" s="29">
        <v>7054576</v>
      </c>
      <c r="C124" s="29" t="str">
        <f ca="1">IFERROR(__xludf.DUMMYFUNCTION("GOOGLETRANSLATE(C1929,""en"",""hr"")"),"Bočna metla unaprijed sastavljena desno")</f>
        <v>Bočna metla unaprijed sastavljena desno</v>
      </c>
      <c r="D124" s="28" t="s">
        <v>11</v>
      </c>
      <c r="E124" s="29">
        <v>1</v>
      </c>
      <c r="F124" s="17"/>
    </row>
    <row r="125" spans="1:9" ht="25.5" customHeight="1" x14ac:dyDescent="0.2">
      <c r="A125" s="27">
        <v>123</v>
      </c>
      <c r="B125" s="29">
        <v>7054592</v>
      </c>
      <c r="C125" s="29" t="str">
        <f ca="1">IFERROR(__xludf.DUMMYFUNCTION("GOOGLETRANSLATE(C1872,""en"",""hr"")"),"Bočne četke kpl. lijevo i desno")</f>
        <v>Bočne četke kpl. lijevo i desno</v>
      </c>
      <c r="D125" s="28" t="s">
        <v>11</v>
      </c>
      <c r="E125" s="29">
        <v>1</v>
      </c>
      <c r="F125" s="17"/>
    </row>
    <row r="126" spans="1:9" ht="25.5" customHeight="1" x14ac:dyDescent="0.2">
      <c r="A126" s="27">
        <v>124</v>
      </c>
      <c r="B126" s="29">
        <v>7054617</v>
      </c>
      <c r="C126" s="29" t="str">
        <f ca="1">IFERROR(__xludf.DUMMYFUNCTION("GOOGLETRANSLATE(C1399,""en"",""hr"")"),"Ploča za pričvršćivanje")</f>
        <v>Ploča za pričvršćivanje</v>
      </c>
      <c r="D126" s="28" t="s">
        <v>11</v>
      </c>
      <c r="E126" s="29">
        <v>1</v>
      </c>
      <c r="F126" s="17"/>
    </row>
    <row r="127" spans="1:9" ht="25.5" customHeight="1" x14ac:dyDescent="0.2">
      <c r="A127" s="27">
        <v>125</v>
      </c>
      <c r="B127" s="29">
        <v>7054854</v>
      </c>
      <c r="C127" s="29" t="str">
        <f ca="1">IFERROR(__xludf.DUMMYFUNCTION("GOOGLETRANSLATE(C5779,""en"",""hr"")"),"Pandžasti prsten kvačila")</f>
        <v>Pandžasti prsten kvačila</v>
      </c>
      <c r="D127" s="28" t="s">
        <v>11</v>
      </c>
      <c r="E127" s="29">
        <v>1</v>
      </c>
      <c r="F127" s="17"/>
    </row>
    <row r="128" spans="1:9" ht="25.5" customHeight="1" x14ac:dyDescent="0.2">
      <c r="A128" s="27">
        <v>126</v>
      </c>
      <c r="B128" s="29">
        <v>7054855</v>
      </c>
      <c r="C128" s="29" t="str">
        <f ca="1">IFERROR(__xludf.DUMMYFUNCTION("GOOGLETRANSLATE(C5780,""en"",""hr"")"),"Pumpa kandžaste spojke")</f>
        <v>Pumpa kandžaste spojke</v>
      </c>
      <c r="D128" s="28" t="s">
        <v>11</v>
      </c>
      <c r="E128" s="29">
        <v>1</v>
      </c>
      <c r="F128" s="17"/>
    </row>
    <row r="129" spans="1:9" ht="25.5" customHeight="1" x14ac:dyDescent="0.2">
      <c r="A129" s="27">
        <v>127</v>
      </c>
      <c r="B129" s="29">
        <v>7054858</v>
      </c>
      <c r="C129" s="29" t="str">
        <f ca="1">IFERROR(__xludf.DUMMYFUNCTION("GOOGLETRANSLATE(C5751,""en"",""hr"")"),"Montažna ploča")</f>
        <v>Montažna ploča</v>
      </c>
      <c r="D129" s="28" t="s">
        <v>11</v>
      </c>
      <c r="E129" s="29">
        <v>1</v>
      </c>
      <c r="F129" s="17"/>
    </row>
    <row r="130" spans="1:9" ht="25.5" customHeight="1" x14ac:dyDescent="0.2">
      <c r="A130" s="27">
        <v>128</v>
      </c>
      <c r="B130" s="29">
        <v>7055054</v>
      </c>
      <c r="C130" s="29" t="str">
        <f ca="1">IFERROR(__xludf.DUMMYFUNCTION("GOOGLETRANSLATE(C5814,""en"",""hr"")"),"Montažna ploča")</f>
        <v>Montažna ploča</v>
      </c>
      <c r="D130" s="28" t="s">
        <v>11</v>
      </c>
      <c r="E130" s="29">
        <v>1</v>
      </c>
      <c r="F130" s="17"/>
    </row>
    <row r="131" spans="1:9" ht="25.5" customHeight="1" x14ac:dyDescent="0.2">
      <c r="A131" s="27">
        <v>129</v>
      </c>
      <c r="B131" s="29">
        <v>7055069</v>
      </c>
      <c r="C131" s="29" t="str">
        <f ca="1">IFERROR(__xludf.DUMMYFUNCTION("GOOGLETRANSLATE(C501,""en"",""hr"")"),"Ventil za punjenje akumulatora")</f>
        <v>Ventil za punjenje akumulatora</v>
      </c>
      <c r="D131" s="28" t="s">
        <v>11</v>
      </c>
      <c r="E131" s="29">
        <v>1</v>
      </c>
      <c r="F131" s="17"/>
    </row>
    <row r="132" spans="1:9" ht="25.5" customHeight="1" x14ac:dyDescent="0.2">
      <c r="A132" s="27">
        <v>130</v>
      </c>
      <c r="B132" s="29">
        <v>7055077</v>
      </c>
      <c r="C132" s="29" t="str">
        <f ca="1">IFERROR(__xludf.DUMMYFUNCTION("GOOGLETRANSLATE(C1339,""en"",""hr"")"),"Držač")</f>
        <v>Držač</v>
      </c>
      <c r="D132" s="28" t="s">
        <v>11</v>
      </c>
      <c r="E132" s="29">
        <v>1</v>
      </c>
      <c r="F132" s="17"/>
    </row>
    <row r="133" spans="1:9" ht="25.5" customHeight="1" x14ac:dyDescent="0.2">
      <c r="A133" s="27">
        <v>131</v>
      </c>
      <c r="B133" s="29">
        <v>7055078</v>
      </c>
      <c r="C133" s="29" t="str">
        <f ca="1">IFERROR(__xludf.DUMMYFUNCTION("GOOGLETRANSLATE(C1338,""en"",""hr"")"),"Držač")</f>
        <v>Držač</v>
      </c>
      <c r="D133" s="28" t="s">
        <v>11</v>
      </c>
      <c r="E133" s="29">
        <v>1</v>
      </c>
      <c r="F133" s="17"/>
      <c r="I133" s="4" t="b">
        <f>INT(F131*100)=(F131*100)</f>
        <v>1</v>
      </c>
    </row>
    <row r="134" spans="1:9" ht="25.5" customHeight="1" x14ac:dyDescent="0.2">
      <c r="A134" s="27">
        <v>132</v>
      </c>
      <c r="B134" s="29">
        <v>7055085</v>
      </c>
      <c r="C134" s="29" t="str">
        <f ca="1">IFERROR(__xludf.DUMMYFUNCTION("GOOGLETRANSLATE(C1349,""en"",""hr"")"),"Držač")</f>
        <v>Držač</v>
      </c>
      <c r="D134" s="28" t="s">
        <v>11</v>
      </c>
      <c r="E134" s="29">
        <v>1</v>
      </c>
      <c r="F134" s="17"/>
    </row>
    <row r="135" spans="1:9" ht="25.5" customHeight="1" x14ac:dyDescent="0.2">
      <c r="A135" s="27">
        <v>133</v>
      </c>
      <c r="B135" s="29">
        <v>7055090</v>
      </c>
      <c r="C135" s="29" t="str">
        <f ca="1">IFERROR(__xludf.DUMMYFUNCTION("GOOGLETRANSLATE(C1528,""en"",""hr"")"),"Inverter")</f>
        <v>Inverter</v>
      </c>
      <c r="D135" s="28" t="s">
        <v>11</v>
      </c>
      <c r="E135" s="29">
        <v>1</v>
      </c>
      <c r="F135" s="17"/>
    </row>
    <row r="136" spans="1:9" ht="25.5" customHeight="1" x14ac:dyDescent="0.2">
      <c r="A136" s="27">
        <v>134</v>
      </c>
      <c r="B136" s="29">
        <v>7055163</v>
      </c>
      <c r="C136" s="29" t="str">
        <f ca="1">IFERROR(__xludf.DUMMYFUNCTION("GOOGLETRANSLATE(C1386,""en"",""hr"")"),"Guma")</f>
        <v>Guma</v>
      </c>
      <c r="D136" s="28" t="s">
        <v>11</v>
      </c>
      <c r="E136" s="29">
        <v>1</v>
      </c>
      <c r="F136" s="17"/>
      <c r="I136" s="4" t="b">
        <f>INT(F134*100)=(F134*100)</f>
        <v>1</v>
      </c>
    </row>
    <row r="137" spans="1:9" ht="25.5" customHeight="1" x14ac:dyDescent="0.2">
      <c r="A137" s="27">
        <v>135</v>
      </c>
      <c r="B137" s="29">
        <v>7055166</v>
      </c>
      <c r="C137" s="29" t="str">
        <f ca="1">IFERROR(__xludf.DUMMYFUNCTION("GOOGLETRANSLATE(C1385,""en"",""hr"")"),"Zatezna traka")</f>
        <v>Zatezna traka</v>
      </c>
      <c r="D137" s="28" t="s">
        <v>11</v>
      </c>
      <c r="E137" s="29">
        <v>1</v>
      </c>
      <c r="F137" s="17"/>
    </row>
    <row r="138" spans="1:9" ht="25.5" customHeight="1" x14ac:dyDescent="0.2">
      <c r="A138" s="27">
        <v>136</v>
      </c>
      <c r="B138" s="29">
        <v>7055167</v>
      </c>
      <c r="C138" s="29" t="str">
        <f ca="1">IFERROR(__xludf.DUMMYFUNCTION("GOOGLETRANSLATE(C1387,""en"",""hr"")"),"Stezni vijak")</f>
        <v>Stezni vijak</v>
      </c>
      <c r="D138" s="28" t="s">
        <v>11</v>
      </c>
      <c r="E138" s="29">
        <v>1</v>
      </c>
      <c r="F138" s="17"/>
    </row>
    <row r="139" spans="1:9" ht="25.5" customHeight="1" x14ac:dyDescent="0.2">
      <c r="A139" s="27">
        <v>137</v>
      </c>
      <c r="B139" s="29">
        <v>7055168</v>
      </c>
      <c r="C139" s="29" t="str">
        <f ca="1">IFERROR(__xludf.DUMMYFUNCTION("GOOGLETRANSLATE(C1388,""en"",""hr"")"),"Zagrada")</f>
        <v>Zagrada</v>
      </c>
      <c r="D139" s="28" t="s">
        <v>11</v>
      </c>
      <c r="E139" s="29">
        <v>1</v>
      </c>
      <c r="F139" s="17"/>
    </row>
    <row r="140" spans="1:9" ht="25.5" customHeight="1" x14ac:dyDescent="0.2">
      <c r="A140" s="27">
        <v>138</v>
      </c>
      <c r="B140" s="29">
        <v>7055175</v>
      </c>
      <c r="C140" s="29" t="str">
        <f ca="1">IFERROR(__xludf.DUMMYFUNCTION("GOOGLETRANSLATE(C67,""en"",""hr"")"),"Kočioni disk")</f>
        <v>Kočioni disk</v>
      </c>
      <c r="D140" s="28" t="s">
        <v>11</v>
      </c>
      <c r="E140" s="29">
        <v>1</v>
      </c>
      <c r="F140" s="17"/>
      <c r="I140" s="4" t="b">
        <f>INT(F138*100)=(F138*100)</f>
        <v>1</v>
      </c>
    </row>
    <row r="141" spans="1:9" ht="25.5" customHeight="1" x14ac:dyDescent="0.2">
      <c r="A141" s="27">
        <v>139</v>
      </c>
      <c r="B141" s="29">
        <v>7055185</v>
      </c>
      <c r="C141" s="29" t="str">
        <f ca="1">IFERROR(__xludf.DUMMYFUNCTION("GOOGLETRANSLATE(C5755,""en"",""hr"")"),"Poklopac filtra")</f>
        <v>Poklopac filtra</v>
      </c>
      <c r="D141" s="28" t="s">
        <v>11</v>
      </c>
      <c r="E141" s="29">
        <v>1</v>
      </c>
      <c r="F141" s="17"/>
    </row>
    <row r="142" spans="1:9" ht="25.5" customHeight="1" x14ac:dyDescent="0.2">
      <c r="A142" s="27">
        <v>140</v>
      </c>
      <c r="B142" s="29">
        <v>7055229</v>
      </c>
      <c r="C142" s="29" t="str">
        <f ca="1">IFERROR(__xludf.DUMMYFUNCTION("GOOGLETRANSLATE(C5819,""en"",""hr"")"),"Ventilator upravljačkog bloka")</f>
        <v>Ventilator upravljačkog bloka</v>
      </c>
      <c r="D142" s="28" t="s">
        <v>11</v>
      </c>
      <c r="E142" s="29">
        <v>1</v>
      </c>
      <c r="F142" s="17"/>
    </row>
    <row r="143" spans="1:9" ht="25.5" customHeight="1" x14ac:dyDescent="0.2">
      <c r="A143" s="27">
        <v>141</v>
      </c>
      <c r="B143" s="29">
        <v>7055230</v>
      </c>
      <c r="C143" s="29" t="str">
        <f ca="1">IFERROR(__xludf.DUMMYFUNCTION("GOOGLETRANSLATE(C68,""en"",""hr"")"),"Sedlo")</f>
        <v>Sedlo</v>
      </c>
      <c r="D143" s="28" t="s">
        <v>11</v>
      </c>
      <c r="E143" s="29">
        <v>1</v>
      </c>
      <c r="F143" s="17"/>
    </row>
    <row r="144" spans="1:9" ht="25.5" customHeight="1" x14ac:dyDescent="0.2">
      <c r="A144" s="27">
        <v>142</v>
      </c>
      <c r="B144" s="29">
        <v>7055300</v>
      </c>
      <c r="C144" s="29" t="str">
        <f ca="1">IFERROR(__xludf.DUMMYFUNCTION("GOOGLETRANSLATE(C5827,""en"",""hr"")"),"Poklopac filtra")</f>
        <v>Poklopac filtra</v>
      </c>
      <c r="D144" s="28" t="s">
        <v>11</v>
      </c>
      <c r="E144" s="29">
        <v>1</v>
      </c>
      <c r="F144" s="17"/>
    </row>
    <row r="145" spans="1:9" ht="25.5" customHeight="1" x14ac:dyDescent="0.2">
      <c r="A145" s="27">
        <v>143</v>
      </c>
      <c r="B145" s="29">
        <v>7055449</v>
      </c>
      <c r="C145" s="29" t="str">
        <f ca="1">IFERROR(__xludf.DUMMYFUNCTION("GOOGLETRANSLATE(C5362,""en"",""hr"")"),"Ovratnik")</f>
        <v>Ovratnik</v>
      </c>
      <c r="D145" s="28" t="s">
        <v>11</v>
      </c>
      <c r="E145" s="29">
        <v>1</v>
      </c>
      <c r="F145" s="17"/>
    </row>
    <row r="146" spans="1:9" ht="25.5" customHeight="1" x14ac:dyDescent="0.2">
      <c r="A146" s="27">
        <v>144</v>
      </c>
      <c r="B146" s="29">
        <v>7055450</v>
      </c>
      <c r="C146" s="29" t="str">
        <f ca="1">IFERROR(__xludf.DUMMYFUNCTION("GOOGLETRANSLATE(C5363,""en"",""hr"")"),"Ovratnik")</f>
        <v>Ovratnik</v>
      </c>
      <c r="D146" s="28" t="s">
        <v>11</v>
      </c>
      <c r="E146" s="29">
        <v>1</v>
      </c>
      <c r="F146" s="17"/>
    </row>
    <row r="147" spans="1:9" ht="25.5" customHeight="1" x14ac:dyDescent="0.2">
      <c r="A147" s="27">
        <v>145</v>
      </c>
      <c r="B147" s="29">
        <v>7055523</v>
      </c>
      <c r="C147" s="29" t="str">
        <f ca="1">IFERROR(__xludf.DUMMYFUNCTION("GOOGLETRANSLATE(C5835,""en"",""hr"")"),"Cijev")</f>
        <v>Cijev</v>
      </c>
      <c r="D147" s="28" t="s">
        <v>11</v>
      </c>
      <c r="E147" s="29">
        <v>1</v>
      </c>
      <c r="F147" s="17"/>
    </row>
    <row r="148" spans="1:9" ht="25.5" customHeight="1" x14ac:dyDescent="0.2">
      <c r="A148" s="27">
        <v>146</v>
      </c>
      <c r="B148" s="29">
        <v>7055529</v>
      </c>
      <c r="C148" s="29" t="str">
        <f ca="1">IFERROR(__xludf.DUMMYFUNCTION("GOOGLETRANSLATE(C3066,""en"",""hr"")"),"Perforirana ploča")</f>
        <v>Perforirana ploča</v>
      </c>
      <c r="D148" s="28" t="s">
        <v>11</v>
      </c>
      <c r="E148" s="29">
        <v>1</v>
      </c>
      <c r="F148" s="17"/>
    </row>
    <row r="149" spans="1:9" ht="25.5" customHeight="1" x14ac:dyDescent="0.2">
      <c r="A149" s="27">
        <v>147</v>
      </c>
      <c r="B149" s="29">
        <v>7055549</v>
      </c>
      <c r="C149" s="29" t="str">
        <f ca="1">IFERROR(__xludf.DUMMYFUNCTION("GOOGLETRANSLATE(C5881,""en"",""hr"")"),"Crijevo")</f>
        <v>Crijevo</v>
      </c>
      <c r="D149" s="28" t="s">
        <v>11</v>
      </c>
      <c r="E149" s="29">
        <v>1</v>
      </c>
      <c r="F149" s="17"/>
    </row>
    <row r="150" spans="1:9" ht="25.5" customHeight="1" x14ac:dyDescent="0.2">
      <c r="A150" s="27">
        <v>148</v>
      </c>
      <c r="B150" s="29">
        <v>7055555</v>
      </c>
      <c r="C150" s="29" t="str">
        <f ca="1">IFERROR(__xludf.DUMMYFUNCTION("GOOGLETRANSLATE(C5882,""en"",""hr"")"),"Crijevo")</f>
        <v>Crijevo</v>
      </c>
      <c r="D150" s="28" t="s">
        <v>11</v>
      </c>
      <c r="E150" s="29">
        <v>1</v>
      </c>
      <c r="F150" s="17"/>
    </row>
    <row r="151" spans="1:9" ht="25.5" customHeight="1" x14ac:dyDescent="0.2">
      <c r="A151" s="27">
        <v>149</v>
      </c>
      <c r="B151" s="29">
        <v>7055591</v>
      </c>
      <c r="C151" s="29" t="str">
        <f ca="1">IFERROR(__xludf.DUMMYFUNCTION("GOOGLETRANSLATE(C1458,""en"",""hr"")"),"Kotač ventilatora")</f>
        <v>Kotač ventilatora</v>
      </c>
      <c r="D151" s="28" t="s">
        <v>11</v>
      </c>
      <c r="E151" s="29">
        <v>1</v>
      </c>
      <c r="F151" s="17"/>
    </row>
    <row r="152" spans="1:9" ht="25.5" customHeight="1" x14ac:dyDescent="0.2">
      <c r="A152" s="27">
        <v>150</v>
      </c>
      <c r="B152" s="29">
        <v>7055605</v>
      </c>
      <c r="C152" s="29" t="str">
        <f ca="1">IFERROR(__xludf.DUMMYFUNCTION("GOOGLETRANSLATE(C5942,""en"",""hr"")"),"Cijev")</f>
        <v>Cijev</v>
      </c>
      <c r="D152" s="28" t="s">
        <v>11</v>
      </c>
      <c r="E152" s="29">
        <v>1</v>
      </c>
      <c r="F152" s="17"/>
    </row>
    <row r="153" spans="1:9" ht="25.5" customHeight="1" x14ac:dyDescent="0.2">
      <c r="A153" s="27">
        <v>151</v>
      </c>
      <c r="B153" s="29">
        <v>7055611</v>
      </c>
      <c r="C153" s="29" t="str">
        <f ca="1">IFERROR(__xludf.DUMMYFUNCTION("GOOGLETRANSLATE(C5962,""en"",""hr"")"),"Crijevo")</f>
        <v>Crijevo</v>
      </c>
      <c r="D153" s="28" t="s">
        <v>11</v>
      </c>
      <c r="E153" s="29">
        <v>1</v>
      </c>
      <c r="F153" s="17"/>
    </row>
    <row r="154" spans="1:9" ht="25.5" customHeight="1" x14ac:dyDescent="0.2">
      <c r="A154" s="27">
        <v>152</v>
      </c>
      <c r="B154" s="29">
        <v>7055612</v>
      </c>
      <c r="C154" s="29" t="str">
        <f ca="1">IFERROR(__xludf.DUMMYFUNCTION("GOOGLETRANSLATE(C5944,""en"",""hr"")"),"Cijev")</f>
        <v>Cijev</v>
      </c>
      <c r="D154" s="28" t="s">
        <v>11</v>
      </c>
      <c r="E154" s="29">
        <v>1</v>
      </c>
      <c r="F154" s="17"/>
    </row>
    <row r="155" spans="1:9" ht="25.5" customHeight="1" x14ac:dyDescent="0.2">
      <c r="A155" s="27">
        <v>153</v>
      </c>
      <c r="B155" s="29">
        <v>7055621</v>
      </c>
      <c r="C155" s="29" t="str">
        <f ca="1">IFERROR(__xludf.DUMMYFUNCTION("GOOGLETRANSLATE(C5512,""en"",""hr"")"),"Vodeni ventil")</f>
        <v>Vodeni ventil</v>
      </c>
      <c r="D155" s="28" t="s">
        <v>11</v>
      </c>
      <c r="E155" s="29">
        <v>1</v>
      </c>
      <c r="F155" s="17"/>
    </row>
    <row r="156" spans="1:9" ht="25.5" customHeight="1" x14ac:dyDescent="0.2">
      <c r="A156" s="27">
        <v>154</v>
      </c>
      <c r="B156" s="29">
        <v>7055623</v>
      </c>
      <c r="C156" s="29" t="str">
        <f ca="1">IFERROR(__xludf.DUMMYFUNCTION("GOOGLETRANSLATE(C18,""en"",""hr"")"),"Sušilo")</f>
        <v>Sušilo</v>
      </c>
      <c r="D156" s="28" t="s">
        <v>11</v>
      </c>
      <c r="E156" s="29">
        <v>1</v>
      </c>
      <c r="F156" s="17"/>
    </row>
    <row r="157" spans="1:9" ht="25.5" customHeight="1" x14ac:dyDescent="0.2">
      <c r="A157" s="27">
        <v>155</v>
      </c>
      <c r="B157" s="29">
        <v>7055703</v>
      </c>
      <c r="C157" s="29" t="str">
        <f ca="1">IFERROR(__xludf.DUMMYFUNCTION("GOOGLETRANSLATE(C5868,""en"",""hr"")"),"Hidraulička pumpa")</f>
        <v>Hidraulička pumpa</v>
      </c>
      <c r="D157" s="28" t="s">
        <v>11</v>
      </c>
      <c r="E157" s="29">
        <v>1</v>
      </c>
      <c r="F157" s="17"/>
    </row>
    <row r="158" spans="1:9" ht="25.5" customHeight="1" x14ac:dyDescent="0.2">
      <c r="A158" s="27">
        <v>156</v>
      </c>
      <c r="B158" s="29">
        <v>7055751</v>
      </c>
      <c r="C158" s="29" t="str">
        <f ca="1">IFERROR(__xludf.DUMMYFUNCTION("GOOGLETRANSLATE(C246,""en"",""hr"")"),"Crijevo za zrak Izlazni hladnjak motora")</f>
        <v>Crijevo za zrak Izlazni hladnjak motora</v>
      </c>
      <c r="D158" s="28" t="s">
        <v>11</v>
      </c>
      <c r="E158" s="29">
        <v>1</v>
      </c>
      <c r="F158" s="17"/>
      <c r="I158" s="4" t="b">
        <f>INT(F156*100)=(F156*100)</f>
        <v>1</v>
      </c>
    </row>
    <row r="159" spans="1:9" ht="25.5" customHeight="1" x14ac:dyDescent="0.2">
      <c r="A159" s="27">
        <v>157</v>
      </c>
      <c r="B159" s="29">
        <v>7055752</v>
      </c>
      <c r="C159" s="29" t="str">
        <f ca="1">IFERROR(__xludf.DUMMYFUNCTION("GOOGLETRANSLATE(C248,""en"",""hr"")"),"Crijevo za zrak hladnjak ulaz motora")</f>
        <v>Crijevo za zrak hladnjak ulaz motora</v>
      </c>
      <c r="D159" s="28" t="s">
        <v>11</v>
      </c>
      <c r="E159" s="29">
        <v>1</v>
      </c>
      <c r="F159" s="17"/>
    </row>
    <row r="160" spans="1:9" ht="25.5" customHeight="1" x14ac:dyDescent="0.2">
      <c r="A160" s="27">
        <v>158</v>
      </c>
      <c r="B160" s="29">
        <v>7055775</v>
      </c>
      <c r="C160" s="29" t="str">
        <f ca="1">IFERROR(__xludf.DUMMYFUNCTION("GOOGLETRANSLATE(C5837,""en"",""hr"")"),"Cijev")</f>
        <v>Cijev</v>
      </c>
      <c r="D160" s="28" t="s">
        <v>11</v>
      </c>
      <c r="E160" s="29">
        <v>1</v>
      </c>
      <c r="F160" s="17"/>
    </row>
    <row r="161" spans="1:9" ht="25.5" customHeight="1" x14ac:dyDescent="0.2">
      <c r="A161" s="27">
        <v>159</v>
      </c>
      <c r="B161" s="29">
        <v>7055776</v>
      </c>
      <c r="C161" s="29" t="str">
        <f ca="1">IFERROR(__xludf.DUMMYFUNCTION("GOOGLETRANSLATE(C5838,""en"",""hr"")"),"Cijev")</f>
        <v>Cijev</v>
      </c>
      <c r="D161" s="28" t="s">
        <v>11</v>
      </c>
      <c r="E161" s="29">
        <v>1</v>
      </c>
      <c r="F161" s="17"/>
      <c r="I161" s="4" t="b">
        <f>INT(F159*100)=(F159*100)</f>
        <v>1</v>
      </c>
    </row>
    <row r="162" spans="1:9" ht="25.5" customHeight="1" x14ac:dyDescent="0.2">
      <c r="A162" s="27">
        <v>160</v>
      </c>
      <c r="B162" s="29">
        <v>7055777</v>
      </c>
      <c r="C162" s="29" t="str">
        <f ca="1">IFERROR(__xludf.DUMMYFUNCTION("GOOGLETRANSLATE(C5839,""en"",""hr"")"),"Cijev")</f>
        <v>Cijev</v>
      </c>
      <c r="D162" s="28" t="s">
        <v>11</v>
      </c>
      <c r="E162" s="29">
        <v>1</v>
      </c>
      <c r="F162" s="17"/>
    </row>
    <row r="163" spans="1:9" ht="25.5" customHeight="1" x14ac:dyDescent="0.2">
      <c r="A163" s="27">
        <v>161</v>
      </c>
      <c r="B163" s="29">
        <v>7055788</v>
      </c>
      <c r="C163" s="29" t="str">
        <f ca="1">IFERROR(__xludf.DUMMYFUNCTION("GOOGLETRANSLATE(C3623,""en"",""hr"")"),"Složeni okov")</f>
        <v>Složeni okov</v>
      </c>
      <c r="D163" s="28" t="s">
        <v>11</v>
      </c>
      <c r="E163" s="29">
        <v>1</v>
      </c>
      <c r="F163" s="17"/>
    </row>
    <row r="164" spans="1:9" ht="25.5" customHeight="1" x14ac:dyDescent="0.2">
      <c r="A164" s="27">
        <v>162</v>
      </c>
      <c r="B164" s="29">
        <v>7055813</v>
      </c>
      <c r="C164" s="29" t="str">
        <f ca="1">IFERROR(__xludf.DUMMYFUNCTION("GOOGLETRANSLATE(C3163,""en"",""hr"")"),"Stezaljka za cijevi")</f>
        <v>Stezaljka za cijevi</v>
      </c>
      <c r="D164" s="28" t="s">
        <v>11</v>
      </c>
      <c r="E164" s="29">
        <v>1</v>
      </c>
      <c r="F164" s="17"/>
    </row>
    <row r="165" spans="1:9" ht="25.5" customHeight="1" x14ac:dyDescent="0.2">
      <c r="A165" s="27">
        <v>163</v>
      </c>
      <c r="B165" s="29">
        <v>7055818</v>
      </c>
      <c r="C165" s="29" t="str">
        <f ca="1">IFERROR(__xludf.DUMMYFUNCTION("GOOGLETRANSLATE(C1487,""en"",""hr"")"),"Električni dodatni grijač")</f>
        <v>Električni dodatni grijač</v>
      </c>
      <c r="D165" s="28" t="s">
        <v>11</v>
      </c>
      <c r="E165" s="29">
        <v>1</v>
      </c>
      <c r="F165" s="17"/>
      <c r="I165" s="4" t="b">
        <f>INT(F163*100)=(F163*100)</f>
        <v>1</v>
      </c>
    </row>
    <row r="166" spans="1:9" ht="25.5" customHeight="1" x14ac:dyDescent="0.2">
      <c r="A166" s="27">
        <v>164</v>
      </c>
      <c r="B166" s="29">
        <v>7055838</v>
      </c>
      <c r="C166" s="29" t="str">
        <f ca="1">IFERROR(__xludf.DUMMYFUNCTION("GOOGLETRANSLATE(C305,""en"",""hr"")"),"Ploča")</f>
        <v>Ploča</v>
      </c>
      <c r="D166" s="28" t="s">
        <v>11</v>
      </c>
      <c r="E166" s="29">
        <v>1</v>
      </c>
      <c r="F166" s="17"/>
    </row>
    <row r="167" spans="1:9" ht="25.5" customHeight="1" x14ac:dyDescent="0.2">
      <c r="A167" s="27">
        <v>165</v>
      </c>
      <c r="B167" s="29">
        <v>7055847</v>
      </c>
      <c r="C167" s="29" t="str">
        <f ca="1">IFERROR(__xludf.DUMMYFUNCTION("GOOGLETRANSLATE(C3067,""en"",""hr"")"),"Perforirana ploča")</f>
        <v>Perforirana ploča</v>
      </c>
      <c r="D167" s="28" t="s">
        <v>11</v>
      </c>
      <c r="E167" s="29">
        <v>1</v>
      </c>
      <c r="F167" s="17"/>
    </row>
    <row r="168" spans="1:9" ht="25.5" customHeight="1" x14ac:dyDescent="0.2">
      <c r="A168" s="27">
        <v>166</v>
      </c>
      <c r="B168" s="29">
        <v>7055866</v>
      </c>
      <c r="C168" s="29" t="str">
        <f ca="1">IFERROR(__xludf.DUMMYFUNCTION("GOOGLETRANSLATE(C3161,""en"",""hr"")"),"Distantna čahura")</f>
        <v>Distantna čahura</v>
      </c>
      <c r="D168" s="28" t="s">
        <v>11</v>
      </c>
      <c r="E168" s="29">
        <v>1</v>
      </c>
      <c r="F168" s="17"/>
    </row>
    <row r="169" spans="1:9" ht="25.5" customHeight="1" x14ac:dyDescent="0.2">
      <c r="A169" s="27">
        <v>167</v>
      </c>
      <c r="B169" s="29">
        <v>7055867</v>
      </c>
      <c r="C169" s="29" t="str">
        <f ca="1">IFERROR(__xludf.DUMMYFUNCTION("GOOGLETRANSLATE(C65,""en"",""hr"")"),"Kardansko vratilo")</f>
        <v>Kardansko vratilo</v>
      </c>
      <c r="D169" s="28" t="s">
        <v>11</v>
      </c>
      <c r="E169" s="29">
        <v>1</v>
      </c>
      <c r="F169" s="17"/>
    </row>
    <row r="170" spans="1:9" ht="25.5" customHeight="1" x14ac:dyDescent="0.2">
      <c r="A170" s="27">
        <v>168</v>
      </c>
      <c r="B170" s="29">
        <v>7055886</v>
      </c>
      <c r="C170" s="29" t="str">
        <f ca="1">IFERROR(__xludf.DUMMYFUNCTION("GOOGLETRANSLATE(C4624,""en"",""hr"")"),"Spojka")</f>
        <v>Spojka</v>
      </c>
      <c r="D170" s="28" t="s">
        <v>11</v>
      </c>
      <c r="E170" s="29">
        <v>1</v>
      </c>
      <c r="F170" s="17"/>
    </row>
    <row r="171" spans="1:9" ht="25.5" customHeight="1" x14ac:dyDescent="0.2">
      <c r="A171" s="27">
        <v>169</v>
      </c>
      <c r="B171" s="29">
        <v>7055895</v>
      </c>
      <c r="C171" s="29" t="str">
        <f ca="1">IFERROR(__xludf.DUMMYFUNCTION("GOOGLETRANSLATE(C5387,""en"",""hr"")"),"Volan")</f>
        <v>Volan</v>
      </c>
      <c r="D171" s="28" t="s">
        <v>11</v>
      </c>
      <c r="E171" s="29">
        <v>1</v>
      </c>
      <c r="F171" s="17"/>
    </row>
    <row r="172" spans="1:9" ht="25.5" customHeight="1" x14ac:dyDescent="0.2">
      <c r="A172" s="27">
        <v>170</v>
      </c>
      <c r="B172" s="29">
        <v>7055896</v>
      </c>
      <c r="C172" s="29" t="str">
        <f ca="1">IFERROR(__xludf.DUMMYFUNCTION("GOOGLETRANSLATE(C5388,""en"",""hr"")"),"gumb")</f>
        <v>gumb</v>
      </c>
      <c r="D172" s="28" t="s">
        <v>11</v>
      </c>
      <c r="E172" s="29">
        <v>1</v>
      </c>
      <c r="F172" s="17"/>
    </row>
    <row r="173" spans="1:9" ht="25.5" customHeight="1" x14ac:dyDescent="0.2">
      <c r="A173" s="27">
        <v>171</v>
      </c>
      <c r="B173" s="29">
        <v>7055898</v>
      </c>
      <c r="C173" s="29" t="str">
        <f ca="1">IFERROR(__xludf.DUMMYFUNCTION("GOOGLETRANSLATE(C5386,""en"",""hr"")"),"mijehovi")</f>
        <v>mijehovi</v>
      </c>
      <c r="D173" s="28" t="s">
        <v>11</v>
      </c>
      <c r="E173" s="29">
        <v>1</v>
      </c>
      <c r="F173" s="17"/>
    </row>
    <row r="174" spans="1:9" ht="25.5" customHeight="1" x14ac:dyDescent="0.2">
      <c r="A174" s="27">
        <v>172</v>
      </c>
      <c r="B174" s="29">
        <v>7055913</v>
      </c>
      <c r="C174" s="29" t="str">
        <f ca="1">IFERROR(__xludf.DUMMYFUNCTION("GOOGLETRANSLATE(C283,""en"",""hr"")"),"Pol")</f>
        <v>Pol</v>
      </c>
      <c r="D174" s="28" t="s">
        <v>11</v>
      </c>
      <c r="E174" s="29">
        <v>1</v>
      </c>
      <c r="F174" s="17"/>
    </row>
    <row r="175" spans="1:9" ht="25.5" customHeight="1" x14ac:dyDescent="0.2">
      <c r="A175" s="27">
        <v>173</v>
      </c>
      <c r="B175" s="29">
        <v>7055967</v>
      </c>
      <c r="C175" s="29" t="str">
        <f ca="1">IFERROR(__xludf.DUMMYFUNCTION("GOOGLETRANSLATE(C5024,""en"",""hr"")"),"Klizni prozor")</f>
        <v>Klizni prozor</v>
      </c>
      <c r="D175" s="28" t="s">
        <v>11</v>
      </c>
      <c r="E175" s="29">
        <v>1</v>
      </c>
      <c r="F175" s="17"/>
    </row>
    <row r="176" spans="1:9" ht="25.5" customHeight="1" x14ac:dyDescent="0.2">
      <c r="A176" s="27">
        <v>174</v>
      </c>
      <c r="B176" s="29">
        <v>7055968</v>
      </c>
      <c r="C176" s="29" t="str">
        <f ca="1">IFERROR(__xludf.DUMMYFUNCTION("GOOGLETRANSLATE(C5028,""en"",""hr"")"),"Klizni prozor")</f>
        <v>Klizni prozor</v>
      </c>
      <c r="D176" s="28" t="s">
        <v>11</v>
      </c>
      <c r="E176" s="29">
        <v>1</v>
      </c>
      <c r="F176" s="17"/>
    </row>
    <row r="177" spans="1:9" ht="25.5" customHeight="1" x14ac:dyDescent="0.2">
      <c r="A177" s="27">
        <v>175</v>
      </c>
      <c r="B177" s="29">
        <v>7055971</v>
      </c>
      <c r="C177" s="29" t="str">
        <f ca="1">IFERROR(__xludf.DUMMYFUNCTION("GOOGLETRANSLATE(C5029,""en"",""hr"")"),"Klizni prozor")</f>
        <v>Klizni prozor</v>
      </c>
      <c r="D177" s="28" t="s">
        <v>11</v>
      </c>
      <c r="E177" s="29">
        <v>1</v>
      </c>
      <c r="F177" s="17"/>
    </row>
    <row r="178" spans="1:9" ht="25.5" customHeight="1" x14ac:dyDescent="0.2">
      <c r="A178" s="27">
        <v>176</v>
      </c>
      <c r="B178" s="29">
        <v>7055972</v>
      </c>
      <c r="C178" s="29" t="str">
        <f ca="1">IFERROR(__xludf.DUMMYFUNCTION("GOOGLETRANSLATE(C5025,""en"",""hr"")"),"Klizni prozor")</f>
        <v>Klizni prozor</v>
      </c>
      <c r="D178" s="28" t="s">
        <v>11</v>
      </c>
      <c r="E178" s="29">
        <v>1</v>
      </c>
      <c r="F178" s="17"/>
    </row>
    <row r="179" spans="1:9" ht="25.5" customHeight="1" x14ac:dyDescent="0.2">
      <c r="A179" s="27">
        <v>177</v>
      </c>
      <c r="B179" s="29">
        <v>7055973</v>
      </c>
      <c r="C179" s="29" t="str">
        <f ca="1">IFERROR(__xludf.DUMMYFUNCTION("GOOGLETRANSLATE(C5007,""en"",""hr"")"),"Bočni prozor lijevo")</f>
        <v>Bočni prozor lijevo</v>
      </c>
      <c r="D179" s="28" t="s">
        <v>11</v>
      </c>
      <c r="E179" s="29">
        <v>1</v>
      </c>
      <c r="F179" s="17"/>
    </row>
    <row r="180" spans="1:9" ht="25.5" customHeight="1" x14ac:dyDescent="0.2">
      <c r="A180" s="27">
        <v>178</v>
      </c>
      <c r="B180" s="29">
        <v>7055974</v>
      </c>
      <c r="C180" s="29" t="str">
        <f ca="1">IFERROR(__xludf.DUMMYFUNCTION("GOOGLETRANSLATE(C5008,""en"",""hr"")"),"Desna strana staklene ploče")</f>
        <v>Desna strana staklene ploče</v>
      </c>
      <c r="D180" s="28" t="s">
        <v>11</v>
      </c>
      <c r="E180" s="29">
        <v>1</v>
      </c>
      <c r="F180" s="17"/>
    </row>
    <row r="181" spans="1:9" ht="25.5" customHeight="1" x14ac:dyDescent="0.2">
      <c r="A181" s="27">
        <v>179</v>
      </c>
      <c r="B181" s="29">
        <v>7055975</v>
      </c>
      <c r="C181" s="29" t="str">
        <f ca="1">IFERROR(__xludf.DUMMYFUNCTION("GOOGLETRANSLATE(C4992,""en"",""hr"")"),"Staklena ploha straga lijevo")</f>
        <v>Staklena ploha straga lijevo</v>
      </c>
      <c r="D181" s="28" t="s">
        <v>11</v>
      </c>
      <c r="E181" s="29">
        <v>1</v>
      </c>
      <c r="F181" s="17"/>
    </row>
    <row r="182" spans="1:9" ht="25.5" customHeight="1" x14ac:dyDescent="0.2">
      <c r="A182" s="27">
        <v>180</v>
      </c>
      <c r="B182" s="29">
        <v>7055989</v>
      </c>
      <c r="C182" s="29" t="str">
        <f ca="1">IFERROR(__xludf.DUMMYFUNCTION("GOOGLETRANSLATE(C4710,""en"",""hr"")"),"Pristupna ploča")</f>
        <v>Pristupna ploča</v>
      </c>
      <c r="D182" s="28" t="s">
        <v>11</v>
      </c>
      <c r="E182" s="29">
        <v>1</v>
      </c>
      <c r="F182" s="17"/>
    </row>
    <row r="183" spans="1:9" ht="25.5" customHeight="1" x14ac:dyDescent="0.2">
      <c r="A183" s="27">
        <v>181</v>
      </c>
      <c r="B183" s="29">
        <v>7055998</v>
      </c>
      <c r="C183" s="29" t="str">
        <f ca="1">IFERROR(__xludf.DUMMYFUNCTION("GOOGLETRANSLATE(C4990,""en"",""hr"")"),"Staklena ploha straga desno")</f>
        <v>Staklena ploha straga desno</v>
      </c>
      <c r="D183" s="28" t="s">
        <v>11</v>
      </c>
      <c r="E183" s="29">
        <v>1</v>
      </c>
      <c r="F183" s="17"/>
    </row>
    <row r="184" spans="1:9" ht="25.5" customHeight="1" x14ac:dyDescent="0.2">
      <c r="A184" s="27">
        <v>182</v>
      </c>
      <c r="B184" s="29">
        <v>7056004</v>
      </c>
      <c r="C184" s="29" t="str">
        <f ca="1">IFERROR(__xludf.DUMMYFUNCTION("GOOGLETRANSLATE(C3993,""en"",""hr"")"),"Držač")</f>
        <v>Držač</v>
      </c>
      <c r="D184" s="28" t="s">
        <v>11</v>
      </c>
      <c r="E184" s="29">
        <v>1</v>
      </c>
      <c r="F184" s="17"/>
      <c r="I184" s="4" t="b">
        <f>INT(F182*100)=(F182*100)</f>
        <v>1</v>
      </c>
    </row>
    <row r="185" spans="1:9" ht="25.5" customHeight="1" x14ac:dyDescent="0.2">
      <c r="A185" s="27">
        <v>183</v>
      </c>
      <c r="B185" s="29">
        <v>7056088</v>
      </c>
      <c r="C185" s="29" t="str">
        <f ca="1">IFERROR(__xludf.DUMMYFUNCTION("GOOGLETRANSLATE(C510,""en"",""hr"")"),"Cijev")</f>
        <v>Cijev</v>
      </c>
      <c r="D185" s="28" t="s">
        <v>11</v>
      </c>
      <c r="E185" s="29">
        <v>1</v>
      </c>
      <c r="F185" s="17"/>
    </row>
    <row r="186" spans="1:9" ht="25.5" customHeight="1" x14ac:dyDescent="0.2">
      <c r="A186" s="27">
        <v>184</v>
      </c>
      <c r="B186" s="29">
        <v>7056113</v>
      </c>
      <c r="C186" s="29" t="str">
        <f ca="1">IFERROR(__xludf.DUMMYFUNCTION("GOOGLETRANSLATE(C4359,""en"",""hr"")"),"Poklopac ventilatora")</f>
        <v>Poklopac ventilatora</v>
      </c>
      <c r="D186" s="28" t="s">
        <v>11</v>
      </c>
      <c r="E186" s="29">
        <v>1</v>
      </c>
      <c r="F186" s="17"/>
    </row>
    <row r="187" spans="1:9" ht="25.5" customHeight="1" x14ac:dyDescent="0.2">
      <c r="A187" s="27">
        <v>185</v>
      </c>
      <c r="B187" s="29">
        <v>7056116</v>
      </c>
      <c r="C187" s="29" t="str">
        <f ca="1">IFERROR(__xludf.DUMMYFUNCTION("GOOGLETRANSLATE(C4362,""en"",""hr"")"),"Stezna ploča")</f>
        <v>Stezna ploča</v>
      </c>
      <c r="D187" s="28" t="s">
        <v>11</v>
      </c>
      <c r="E187" s="29">
        <v>1</v>
      </c>
      <c r="F187" s="17"/>
      <c r="I187" s="4" t="b">
        <f>INT(F185*100)=(F185*100)</f>
        <v>1</v>
      </c>
    </row>
    <row r="188" spans="1:9" ht="25.5" customHeight="1" x14ac:dyDescent="0.2">
      <c r="A188" s="27">
        <v>186</v>
      </c>
      <c r="B188" s="29">
        <v>7056118</v>
      </c>
      <c r="C188" s="29" t="str">
        <f ca="1">IFERROR(__xludf.DUMMYFUNCTION("GOOGLETRANSLATE(C1218,""en"",""hr"")"),"Kontrolna jedinica")</f>
        <v>Kontrolna jedinica</v>
      </c>
      <c r="D188" s="28" t="s">
        <v>11</v>
      </c>
      <c r="E188" s="29">
        <v>1</v>
      </c>
      <c r="F188" s="17"/>
    </row>
    <row r="189" spans="1:9" ht="25.5" customHeight="1" x14ac:dyDescent="0.2">
      <c r="A189" s="27">
        <v>187</v>
      </c>
      <c r="B189" s="29">
        <v>7056132</v>
      </c>
      <c r="C189" s="29" t="str">
        <f ca="1">IFERROR(__xludf.DUMMYFUNCTION("GOOGLETRANSLATE(C443,""en"",""hr"")"),"Vijak za pričvršćivanje")</f>
        <v>Vijak za pričvršćivanje</v>
      </c>
      <c r="D189" s="28" t="s">
        <v>11</v>
      </c>
      <c r="E189" s="29">
        <v>1</v>
      </c>
      <c r="F189" s="17"/>
    </row>
    <row r="190" spans="1:9" ht="25.5" customHeight="1" x14ac:dyDescent="0.2">
      <c r="A190" s="27">
        <v>188</v>
      </c>
      <c r="B190" s="29">
        <v>7056134</v>
      </c>
      <c r="C190" s="29" t="str">
        <f ca="1">IFERROR(__xludf.DUMMYFUNCTION("GOOGLETRANSLATE(C933,""en"",""hr"")"),"Držač")</f>
        <v>Držač</v>
      </c>
      <c r="D190" s="28" t="s">
        <v>11</v>
      </c>
      <c r="E190" s="29">
        <v>1</v>
      </c>
      <c r="F190" s="17"/>
    </row>
    <row r="191" spans="1:9" ht="25.5" customHeight="1" x14ac:dyDescent="0.2">
      <c r="A191" s="27">
        <v>189</v>
      </c>
      <c r="B191" s="29">
        <v>7056148</v>
      </c>
      <c r="C191" s="29" t="str">
        <f ca="1">IFERROR(__xludf.DUMMYFUNCTION("GOOGLETRANSLATE(C4361,""en"",""hr"")"),"Hidraulički motor")</f>
        <v>Hidraulički motor</v>
      </c>
      <c r="D191" s="28" t="s">
        <v>11</v>
      </c>
      <c r="E191" s="29">
        <v>1</v>
      </c>
      <c r="F191" s="17"/>
      <c r="I191" s="4" t="b">
        <f>INT(F189*100)=(F189*100)</f>
        <v>1</v>
      </c>
    </row>
    <row r="192" spans="1:9" ht="25.5" customHeight="1" x14ac:dyDescent="0.2">
      <c r="A192" s="27">
        <v>190</v>
      </c>
      <c r="B192" s="29">
        <v>7056170</v>
      </c>
      <c r="C192" s="29" t="str">
        <f ca="1">IFERROR(__xludf.DUMMYFUNCTION("GOOGLETRANSLATE(C6372,""en"",""hr"")"),"Čvor")</f>
        <v>Čvor</v>
      </c>
      <c r="D192" s="28" t="s">
        <v>11</v>
      </c>
      <c r="E192" s="29">
        <v>1</v>
      </c>
      <c r="F192" s="17"/>
    </row>
    <row r="193" spans="1:6" ht="25.5" customHeight="1" x14ac:dyDescent="0.2">
      <c r="A193" s="27">
        <v>191</v>
      </c>
      <c r="B193" s="29">
        <v>7056222</v>
      </c>
      <c r="C193" s="29" t="str">
        <f ca="1">IFERROR(__xludf.DUMMYFUNCTION("GOOGLETRANSLATE(C3467,""en"",""hr"")"),"Indikator razine vode u spremniku")</f>
        <v>Indikator razine vode u spremniku</v>
      </c>
      <c r="D193" s="28" t="s">
        <v>11</v>
      </c>
      <c r="E193" s="29">
        <v>1</v>
      </c>
      <c r="F193" s="17"/>
    </row>
    <row r="194" spans="1:6" ht="25.5" customHeight="1" x14ac:dyDescent="0.2">
      <c r="A194" s="27">
        <v>192</v>
      </c>
      <c r="B194" s="29">
        <v>7056236</v>
      </c>
      <c r="C194" s="29" t="str">
        <f ca="1">IFERROR(__xludf.DUMMYFUNCTION("GOOGLETRANSLATE(C417,""en"",""hr"")"),"Set crijeva kpl.")</f>
        <v>Set crijeva kpl.</v>
      </c>
      <c r="D194" s="28" t="s">
        <v>11</v>
      </c>
      <c r="E194" s="29">
        <v>1</v>
      </c>
      <c r="F194" s="17"/>
    </row>
    <row r="195" spans="1:6" ht="25.5" customHeight="1" x14ac:dyDescent="0.2">
      <c r="A195" s="27">
        <v>193</v>
      </c>
      <c r="B195" s="29">
        <v>7056283</v>
      </c>
      <c r="C195" s="29" t="str">
        <f ca="1">IFERROR(__xludf.DUMMYFUNCTION("GOOGLETRANSLATE(C3132,""en"",""hr"")"),"Priključak usisne cijevi")</f>
        <v>Priključak usisne cijevi</v>
      </c>
      <c r="D195" s="28" t="s">
        <v>11</v>
      </c>
      <c r="E195" s="29">
        <v>1</v>
      </c>
      <c r="F195" s="17"/>
    </row>
    <row r="196" spans="1:6" ht="25.5" customHeight="1" x14ac:dyDescent="0.2">
      <c r="A196" s="27">
        <v>194</v>
      </c>
      <c r="B196" s="29">
        <v>7056293</v>
      </c>
      <c r="C196" s="29" t="str">
        <f ca="1">IFERROR(__xludf.DUMMYFUNCTION("GOOGLETRANSLATE(C2019,""en"",""hr"")"),"Cijev")</f>
        <v>Cijev</v>
      </c>
      <c r="D196" s="28" t="s">
        <v>11</v>
      </c>
      <c r="E196" s="29">
        <v>1</v>
      </c>
      <c r="F196" s="17"/>
    </row>
    <row r="197" spans="1:6" ht="25.5" customHeight="1" x14ac:dyDescent="0.2">
      <c r="A197" s="27">
        <v>195</v>
      </c>
      <c r="B197" s="29">
        <v>7056294</v>
      </c>
      <c r="C197" s="29" t="str">
        <f ca="1">IFERROR(__xludf.DUMMYFUNCTION("GOOGLETRANSLATE(C2018,""en"",""hr"")"),"Cijev")</f>
        <v>Cijev</v>
      </c>
      <c r="D197" s="28" t="s">
        <v>11</v>
      </c>
      <c r="E197" s="29">
        <v>1</v>
      </c>
      <c r="F197" s="17"/>
    </row>
    <row r="198" spans="1:6" ht="25.5" customHeight="1" x14ac:dyDescent="0.2">
      <c r="A198" s="27">
        <v>196</v>
      </c>
      <c r="B198" s="29">
        <v>7056381</v>
      </c>
      <c r="C198" s="29" t="str">
        <f ca="1">IFERROR(__xludf.DUMMYFUNCTION("GOOGLETRANSLATE(C4262,""en"",""hr"")"),"Cijev za umetanje")</f>
        <v>Cijev za umetanje</v>
      </c>
      <c r="D198" s="28" t="s">
        <v>11</v>
      </c>
      <c r="E198" s="29">
        <v>1</v>
      </c>
      <c r="F198" s="17"/>
    </row>
    <row r="199" spans="1:6" ht="25.5" customHeight="1" x14ac:dyDescent="0.2">
      <c r="A199" s="27">
        <v>197</v>
      </c>
      <c r="B199" s="29">
        <v>7056529</v>
      </c>
      <c r="C199" s="29" t="str">
        <f ca="1">IFERROR(__xludf.DUMMYFUNCTION("GOOGLETRANSLATE(C5766,""en"",""hr"")"),"Cijev")</f>
        <v>Cijev</v>
      </c>
      <c r="D199" s="28" t="s">
        <v>11</v>
      </c>
      <c r="E199" s="29">
        <v>1</v>
      </c>
      <c r="F199" s="17"/>
    </row>
    <row r="200" spans="1:6" ht="25.5" customHeight="1" x14ac:dyDescent="0.2">
      <c r="A200" s="27">
        <v>198</v>
      </c>
      <c r="B200" s="29">
        <v>7056553</v>
      </c>
      <c r="C200" s="29" t="str">
        <f ca="1">IFERROR(__xludf.DUMMYFUNCTION("GOOGLETRANSLATE(C5818,""en"",""hr"")"),"Predmontaža bloka ventilatora")</f>
        <v>Predmontaža bloka ventilatora</v>
      </c>
      <c r="D200" s="28" t="s">
        <v>11</v>
      </c>
      <c r="E200" s="29">
        <v>1</v>
      </c>
      <c r="F200" s="17"/>
    </row>
    <row r="201" spans="1:6" ht="25.5" customHeight="1" x14ac:dyDescent="0.2">
      <c r="A201" s="27">
        <v>199</v>
      </c>
      <c r="B201" s="29">
        <v>7056581</v>
      </c>
      <c r="C201" s="29" t="str">
        <f ca="1">IFERROR(__xludf.DUMMYFUNCTION("GOOGLETRANSLATE(C4982,""en"",""hr"")"),"Podna ploča")</f>
        <v>Podna ploča</v>
      </c>
      <c r="D201" s="28" t="s">
        <v>11</v>
      </c>
      <c r="E201" s="29">
        <v>1</v>
      </c>
      <c r="F201" s="17"/>
    </row>
    <row r="202" spans="1:6" ht="25.5" customHeight="1" x14ac:dyDescent="0.2">
      <c r="A202" s="27">
        <v>200</v>
      </c>
      <c r="B202" s="29">
        <v>7056595</v>
      </c>
      <c r="C202" s="29" t="str">
        <f ca="1">IFERROR(__xludf.DUMMYFUNCTION("GOOGLETRANSLATE(C626,""en"",""hr"")"),"Ležaj kotača")</f>
        <v>Ležaj kotača</v>
      </c>
      <c r="D202" s="28" t="s">
        <v>11</v>
      </c>
      <c r="E202" s="29">
        <v>1</v>
      </c>
      <c r="F202" s="17"/>
    </row>
    <row r="203" spans="1:6" ht="25.5" customHeight="1" x14ac:dyDescent="0.2">
      <c r="A203" s="27">
        <v>201</v>
      </c>
      <c r="B203" s="29">
        <v>7056602</v>
      </c>
      <c r="C203" s="29" t="str">
        <f ca="1">IFERROR(__xludf.DUMMYFUNCTION("GOOGLETRANSLATE(C66,""en"",""hr"")"),"Vijak kotača")</f>
        <v>Vijak kotača</v>
      </c>
      <c r="D203" s="28" t="s">
        <v>11</v>
      </c>
      <c r="E203" s="29">
        <v>1</v>
      </c>
      <c r="F203" s="17"/>
    </row>
    <row r="204" spans="1:6" ht="25.5" customHeight="1" x14ac:dyDescent="0.2">
      <c r="A204" s="27">
        <v>202</v>
      </c>
      <c r="B204" s="29">
        <v>7056603</v>
      </c>
      <c r="C204" s="29" t="str">
        <f ca="1">IFERROR(__xludf.DUMMYFUNCTION("GOOGLETRANSLATE(C5306,""en"",""hr"")"),"Zagrada")</f>
        <v>Zagrada</v>
      </c>
      <c r="D204" s="28" t="s">
        <v>11</v>
      </c>
      <c r="E204" s="29">
        <v>1</v>
      </c>
      <c r="F204" s="17"/>
    </row>
    <row r="205" spans="1:6" ht="25.5" customHeight="1" x14ac:dyDescent="0.2">
      <c r="A205" s="27">
        <v>203</v>
      </c>
      <c r="B205" s="29">
        <v>7056605</v>
      </c>
      <c r="C205" s="29" t="str">
        <f ca="1">IFERROR(__xludf.DUMMYFUNCTION("GOOGLETRANSLATE(C5305,""en"",""hr"")"),"montirati")</f>
        <v>montirati</v>
      </c>
      <c r="D205" s="28" t="s">
        <v>11</v>
      </c>
      <c r="E205" s="29">
        <v>1</v>
      </c>
      <c r="F205" s="17"/>
    </row>
    <row r="206" spans="1:6" ht="25.5" customHeight="1" x14ac:dyDescent="0.2">
      <c r="A206" s="27">
        <v>204</v>
      </c>
      <c r="B206" s="29">
        <v>7056606</v>
      </c>
      <c r="C206" s="29" t="str">
        <f ca="1">IFERROR(__xludf.DUMMYFUNCTION("GOOGLETRANSLATE(C781,""en"",""hr"")"),"Prtljažnik kotača ploče za zaštitu od prašine")</f>
        <v>Prtljažnik kotača ploče za zaštitu od prašine</v>
      </c>
      <c r="D206" s="28" t="s">
        <v>11</v>
      </c>
      <c r="E206" s="29">
        <v>1</v>
      </c>
      <c r="F206" s="17"/>
    </row>
    <row r="207" spans="1:6" ht="25.5" customHeight="1" x14ac:dyDescent="0.2">
      <c r="A207" s="27">
        <v>205</v>
      </c>
      <c r="B207" s="29">
        <v>7056608</v>
      </c>
      <c r="C207" s="29" t="str">
        <f ca="1">IFERROR(__xludf.DUMMYFUNCTION("GOOGLETRANSLATE(C780,""en"",""hr"")"),"Perilica")</f>
        <v>Perilica</v>
      </c>
      <c r="D207" s="28" t="s">
        <v>11</v>
      </c>
      <c r="E207" s="29">
        <v>1</v>
      </c>
      <c r="F207" s="17"/>
    </row>
    <row r="208" spans="1:6" ht="25.5" customHeight="1" x14ac:dyDescent="0.2">
      <c r="A208" s="27">
        <v>206</v>
      </c>
      <c r="B208" s="29">
        <v>7056609</v>
      </c>
      <c r="C208" s="29" t="str">
        <f ca="1">IFERROR(__xludf.DUMMYFUNCTION("GOOGLETRANSLATE(C5307,""en"",""hr"")"),"gumb")</f>
        <v>gumb</v>
      </c>
      <c r="D208" s="28" t="s">
        <v>11</v>
      </c>
      <c r="E208" s="29">
        <v>1</v>
      </c>
      <c r="F208" s="17"/>
    </row>
    <row r="209" spans="1:9" ht="25.5" customHeight="1" x14ac:dyDescent="0.2">
      <c r="A209" s="27">
        <v>207</v>
      </c>
      <c r="B209" s="29">
        <v>7056610</v>
      </c>
      <c r="C209" s="29" t="str">
        <f ca="1">IFERROR(__xludf.DUMMYFUNCTION("GOOGLETRANSLATE(C620,""en"",""hr"")"),"Vijak")</f>
        <v>Vijak</v>
      </c>
      <c r="D209" s="28" t="s">
        <v>11</v>
      </c>
      <c r="E209" s="29">
        <v>1</v>
      </c>
      <c r="F209" s="17"/>
      <c r="I209" s="4" t="b">
        <f>INT(F207*100)=(F207*100)</f>
        <v>1</v>
      </c>
    </row>
    <row r="210" spans="1:9" ht="25.5" customHeight="1" x14ac:dyDescent="0.2">
      <c r="A210" s="27">
        <v>208</v>
      </c>
      <c r="B210" s="29">
        <v>7056625</v>
      </c>
      <c r="C210" s="29" t="str">
        <f ca="1">IFERROR(__xludf.DUMMYFUNCTION("GOOGLETRANSLATE(C5877,""en"",""hr"")"),"Pogonska pumpa")</f>
        <v>Pogonska pumpa</v>
      </c>
      <c r="D210" s="28" t="s">
        <v>11</v>
      </c>
      <c r="E210" s="29">
        <v>1</v>
      </c>
      <c r="F210" s="17"/>
    </row>
    <row r="211" spans="1:9" ht="25.5" customHeight="1" x14ac:dyDescent="0.2">
      <c r="A211" s="27">
        <v>209</v>
      </c>
      <c r="B211" s="29">
        <v>7056628</v>
      </c>
      <c r="C211" s="29" t="str">
        <f ca="1">IFERROR(__xludf.DUMMYFUNCTION("GOOGLETRANSLATE(C1356,""en"",""hr"")"),"Sklop senzora (NOX)")</f>
        <v>Sklop senzora (NOX)</v>
      </c>
      <c r="D211" s="28" t="s">
        <v>11</v>
      </c>
      <c r="E211" s="29">
        <v>1</v>
      </c>
      <c r="F211" s="17"/>
    </row>
    <row r="212" spans="1:9" ht="25.5" customHeight="1" x14ac:dyDescent="0.2">
      <c r="A212" s="27">
        <v>210</v>
      </c>
      <c r="B212" s="29">
        <v>7056691</v>
      </c>
      <c r="C212" s="29" t="str">
        <f ca="1">IFERROR(__xludf.DUMMYFUNCTION("GOOGLETRANSLATE(C682,""en"",""hr"")"),"Vijak")</f>
        <v>Vijak</v>
      </c>
      <c r="D212" s="28" t="s">
        <v>11</v>
      </c>
      <c r="E212" s="29">
        <v>1</v>
      </c>
      <c r="F212" s="17"/>
      <c r="I212" s="4" t="b">
        <f>INT(F210*100)=(F210*100)</f>
        <v>1</v>
      </c>
    </row>
    <row r="213" spans="1:9" ht="25.5" customHeight="1" x14ac:dyDescent="0.2">
      <c r="A213" s="27">
        <v>211</v>
      </c>
      <c r="B213" s="29">
        <v>7056708</v>
      </c>
      <c r="C213" s="29" t="str">
        <f ca="1">IFERROR(__xludf.DUMMYFUNCTION("GOOGLETRANSLATE(C5160,""en"",""hr"")"),"Oplata")</f>
        <v>Oplata</v>
      </c>
      <c r="D213" s="28" t="s">
        <v>11</v>
      </c>
      <c r="E213" s="29">
        <v>1</v>
      </c>
      <c r="F213" s="17"/>
    </row>
    <row r="214" spans="1:9" ht="25.5" customHeight="1" x14ac:dyDescent="0.2">
      <c r="A214" s="27">
        <v>212</v>
      </c>
      <c r="B214" s="29">
        <v>7056727</v>
      </c>
      <c r="C214" s="29" t="str">
        <f ca="1">IFERROR(__xludf.DUMMYFUNCTION("GOOGLETRANSLATE(C5167,""en"",""hr"")"),"laserska ploča")</f>
        <v>laserska ploča</v>
      </c>
      <c r="D214" s="28" t="s">
        <v>11</v>
      </c>
      <c r="E214" s="29">
        <v>1</v>
      </c>
      <c r="F214" s="17"/>
    </row>
    <row r="215" spans="1:9" ht="25.5" customHeight="1" x14ac:dyDescent="0.2">
      <c r="A215" s="27">
        <v>213</v>
      </c>
      <c r="B215" s="29">
        <v>7056732</v>
      </c>
      <c r="C215" s="29" t="str">
        <f ca="1">IFERROR(__xludf.DUMMYFUNCTION("GOOGLETRANSLATE(C5150,""en"",""hr"")"),"Podloga za filter")</f>
        <v>Podloga za filter</v>
      </c>
      <c r="D215" s="28" t="s">
        <v>11</v>
      </c>
      <c r="E215" s="29">
        <v>1</v>
      </c>
      <c r="F215" s="17"/>
    </row>
    <row r="216" spans="1:9" ht="25.5" customHeight="1" x14ac:dyDescent="0.2">
      <c r="A216" s="27">
        <v>214</v>
      </c>
      <c r="B216" s="29">
        <v>7056754</v>
      </c>
      <c r="C216" s="29" t="str">
        <f ca="1">IFERROR(__xludf.DUMMYFUNCTION("GOOGLETRANSLATE(C5195,""en"",""hr"")"),"Štitnik za sunce")</f>
        <v>Štitnik za sunce</v>
      </c>
      <c r="D216" s="28" t="s">
        <v>11</v>
      </c>
      <c r="E216" s="29">
        <v>1</v>
      </c>
      <c r="F216" s="17"/>
      <c r="I216" s="4" t="b">
        <f>INT(F214*100)=(F214*100)</f>
        <v>1</v>
      </c>
    </row>
    <row r="217" spans="1:9" ht="25.5" customHeight="1" x14ac:dyDescent="0.2">
      <c r="A217" s="27">
        <v>215</v>
      </c>
      <c r="B217" s="29">
        <v>7056757</v>
      </c>
      <c r="C217" s="29" t="str">
        <f ca="1">IFERROR(__xludf.DUMMYFUNCTION("GOOGLETRANSLATE(C5184,""en"",""hr"")"),"Zvučnik")</f>
        <v>Zvučnik</v>
      </c>
      <c r="D217" s="28" t="s">
        <v>11</v>
      </c>
      <c r="E217" s="29">
        <v>1</v>
      </c>
      <c r="F217" s="17"/>
    </row>
    <row r="218" spans="1:9" ht="25.5" customHeight="1" x14ac:dyDescent="0.2">
      <c r="A218" s="27">
        <v>216</v>
      </c>
      <c r="B218" s="29">
        <v>7056758</v>
      </c>
      <c r="C218" s="29" t="str">
        <f ca="1">IFERROR(__xludf.DUMMYFUNCTION("GOOGLETRANSLATE(C5185,""en"",""hr"")"),"Zaštita")</f>
        <v>Zaštita</v>
      </c>
      <c r="D218" s="28" t="s">
        <v>11</v>
      </c>
      <c r="E218" s="29">
        <v>1</v>
      </c>
      <c r="F218" s="17"/>
    </row>
    <row r="219" spans="1:9" ht="25.5" customHeight="1" x14ac:dyDescent="0.2">
      <c r="A219" s="27">
        <v>217</v>
      </c>
      <c r="B219" s="29">
        <v>7056766</v>
      </c>
      <c r="C219" s="29" t="str">
        <f ca="1">IFERROR(__xludf.DUMMYFUNCTION("GOOGLETRANSLATE(C5298,""en"",""hr"")"),"Zaštita")</f>
        <v>Zaštita</v>
      </c>
      <c r="D219" s="28" t="s">
        <v>11</v>
      </c>
      <c r="E219" s="29">
        <v>1</v>
      </c>
      <c r="F219" s="17"/>
    </row>
    <row r="220" spans="1:9" ht="25.5" customHeight="1" x14ac:dyDescent="0.2">
      <c r="A220" s="27">
        <v>218</v>
      </c>
      <c r="B220" s="29">
        <v>7056775</v>
      </c>
      <c r="C220" s="29" t="str">
        <f ca="1">IFERROR(__xludf.DUMMYFUNCTION("GOOGLETRANSLATE(C4571,""en"",""hr"")"),"Preklopni stupanj curenja ulja razdjelnog bloka")</f>
        <v>Preklopni stupanj curenja ulja razdjelnog bloka</v>
      </c>
      <c r="D220" s="28" t="s">
        <v>11</v>
      </c>
      <c r="E220" s="29">
        <v>1</v>
      </c>
      <c r="F220" s="17"/>
    </row>
    <row r="221" spans="1:9" ht="25.5" customHeight="1" x14ac:dyDescent="0.2">
      <c r="A221" s="27">
        <v>219</v>
      </c>
      <c r="B221" s="29">
        <v>7056783</v>
      </c>
      <c r="C221" s="29" t="str">
        <f ca="1">IFERROR(__xludf.DUMMYFUNCTION("GOOGLETRANSLATE(C5189,""en"",""hr"")"),"Lanac")</f>
        <v>Lanac</v>
      </c>
      <c r="D221" s="28" t="s">
        <v>11</v>
      </c>
      <c r="E221" s="29">
        <v>1</v>
      </c>
      <c r="F221" s="17"/>
    </row>
    <row r="222" spans="1:9" ht="25.5" customHeight="1" x14ac:dyDescent="0.2">
      <c r="A222" s="27">
        <v>220</v>
      </c>
      <c r="B222" s="29">
        <v>7056797</v>
      </c>
      <c r="C222" s="29" t="str">
        <f ca="1">IFERROR(__xludf.DUMMYFUNCTION("GOOGLETRANSLATE(C20,""en"",""hr"")"),"Pumpa za vodu")</f>
        <v>Pumpa za vodu</v>
      </c>
      <c r="D222" s="28" t="s">
        <v>11</v>
      </c>
      <c r="E222" s="29">
        <v>1</v>
      </c>
      <c r="F222" s="17"/>
    </row>
    <row r="223" spans="1:9" ht="25.5" customHeight="1" x14ac:dyDescent="0.2">
      <c r="A223" s="27">
        <v>221</v>
      </c>
      <c r="B223" s="29">
        <v>7056922</v>
      </c>
      <c r="C223" s="29" t="str">
        <f ca="1">IFERROR(__xludf.DUMMYFUNCTION("GOOGLETRANSLATE(C2016,""en"",""hr"")"),"Hidraulički blok kpl.")</f>
        <v>Hidraulički blok kpl.</v>
      </c>
      <c r="D223" s="28" t="s">
        <v>11</v>
      </c>
      <c r="E223" s="29">
        <v>1</v>
      </c>
      <c r="F223" s="17"/>
    </row>
    <row r="224" spans="1:9" ht="25.5" customHeight="1" x14ac:dyDescent="0.2">
      <c r="A224" s="27">
        <v>222</v>
      </c>
      <c r="B224" s="29">
        <v>7056973</v>
      </c>
      <c r="C224" s="29" t="str">
        <f ca="1">IFERROR(__xludf.DUMMYFUNCTION("GOOGLETRANSLATE(C1044,""en"",""hr"")"),"Držač")</f>
        <v>Držač</v>
      </c>
      <c r="D224" s="28" t="s">
        <v>11</v>
      </c>
      <c r="E224" s="29">
        <v>1</v>
      </c>
      <c r="F224" s="17"/>
    </row>
    <row r="225" spans="1:9" ht="25.5" customHeight="1" x14ac:dyDescent="0.2">
      <c r="A225" s="27">
        <v>223</v>
      </c>
      <c r="B225" s="29">
        <v>7056983</v>
      </c>
      <c r="C225" s="29" t="str">
        <f ca="1">IFERROR(__xludf.DUMMYFUNCTION("GOOGLETRANSLATE(C574,""en"",""hr"")"),"Kočioni cilindar")</f>
        <v>Kočioni cilindar</v>
      </c>
      <c r="D225" s="28" t="s">
        <v>11</v>
      </c>
      <c r="E225" s="29">
        <v>1</v>
      </c>
      <c r="F225" s="17"/>
    </row>
    <row r="226" spans="1:9" ht="25.5" customHeight="1" x14ac:dyDescent="0.2">
      <c r="A226" s="27">
        <v>224</v>
      </c>
      <c r="B226" s="29">
        <v>7056992</v>
      </c>
      <c r="C226" s="29" t="str">
        <f ca="1">IFERROR(__xludf.DUMMYFUNCTION("GOOGLETRANSLATE(C6149,""en"",""hr"")"),"Kontrolni blok")</f>
        <v>Kontrolni blok</v>
      </c>
      <c r="D226" s="28" t="s">
        <v>11</v>
      </c>
      <c r="E226" s="29">
        <v>1</v>
      </c>
      <c r="F226" s="17"/>
    </row>
    <row r="227" spans="1:9" ht="25.5" customHeight="1" x14ac:dyDescent="0.2">
      <c r="A227" s="27">
        <v>225</v>
      </c>
      <c r="B227" s="29">
        <v>7056993</v>
      </c>
      <c r="C227" s="29" t="str">
        <f ca="1">IFERROR(__xludf.DUMMYFUNCTION("GOOGLETRANSLATE(C2004,""en"",""hr"")"),"Kontrolni blok usisni otvor")</f>
        <v>Kontrolni blok usisni otvor</v>
      </c>
      <c r="D227" s="28" t="s">
        <v>11</v>
      </c>
      <c r="E227" s="29">
        <v>1</v>
      </c>
      <c r="F227" s="17"/>
    </row>
    <row r="228" spans="1:9" ht="25.5" customHeight="1" x14ac:dyDescent="0.2">
      <c r="A228" s="27">
        <v>226</v>
      </c>
      <c r="B228" s="29">
        <v>7057056</v>
      </c>
      <c r="C228" s="29" t="str">
        <f ca="1">IFERROR(__xludf.DUMMYFUNCTION("GOOGLETRANSLATE(C5405,""en"",""hr"")"),"Razmaknica")</f>
        <v>Razmaknica</v>
      </c>
      <c r="D228" s="28" t="s">
        <v>11</v>
      </c>
      <c r="E228" s="29">
        <v>1</v>
      </c>
      <c r="F228" s="17"/>
    </row>
    <row r="229" spans="1:9" ht="25.5" customHeight="1" x14ac:dyDescent="0.2">
      <c r="A229" s="27">
        <v>227</v>
      </c>
      <c r="B229" s="29">
        <v>7057087</v>
      </c>
      <c r="C229" s="29" t="str">
        <f ca="1">IFERROR(__xludf.DUMMYFUNCTION("GOOGLETRANSLATE(C1441,""en"",""hr"")"),"Podrška za baterije")</f>
        <v>Podrška za baterije</v>
      </c>
      <c r="D229" s="28" t="s">
        <v>11</v>
      </c>
      <c r="E229" s="29">
        <v>1</v>
      </c>
      <c r="F229" s="17"/>
    </row>
    <row r="230" spans="1:9" ht="25.5" customHeight="1" x14ac:dyDescent="0.2">
      <c r="A230" s="27">
        <v>228</v>
      </c>
      <c r="B230" s="29">
        <v>7057088</v>
      </c>
      <c r="C230" s="29" t="str">
        <f ca="1">IFERROR(__xludf.DUMMYFUNCTION("GOOGLETRANSLATE(C1440,""en"",""hr"")"),"Podrška za baterije")</f>
        <v>Podrška za baterije</v>
      </c>
      <c r="D230" s="28" t="s">
        <v>11</v>
      </c>
      <c r="E230" s="29">
        <v>1</v>
      </c>
      <c r="F230" s="17"/>
    </row>
    <row r="231" spans="1:9" ht="25.5" customHeight="1" x14ac:dyDescent="0.2">
      <c r="A231" s="27">
        <v>229</v>
      </c>
      <c r="B231" s="29">
        <v>7057115</v>
      </c>
      <c r="C231" s="29" t="str">
        <f ca="1">IFERROR(__xludf.DUMMYFUNCTION("GOOGLETRANSLATE(C5108,""en"",""hr"")"),"Nosač za ogledalo lijevo")</f>
        <v>Nosač za ogledalo lijevo</v>
      </c>
      <c r="D231" s="28" t="s">
        <v>11</v>
      </c>
      <c r="E231" s="29">
        <v>1</v>
      </c>
      <c r="F231" s="17"/>
    </row>
    <row r="232" spans="1:9" ht="25.5" customHeight="1" x14ac:dyDescent="0.2">
      <c r="A232" s="27">
        <v>230</v>
      </c>
      <c r="B232" s="29">
        <v>7057121</v>
      </c>
      <c r="C232" s="29" t="str">
        <f ca="1">IFERROR(__xludf.DUMMYFUNCTION("GOOGLETRANSLATE(C4758,""en"",""hr"")"),"Zagrada")</f>
        <v>Zagrada</v>
      </c>
      <c r="D232" s="28" t="s">
        <v>11</v>
      </c>
      <c r="E232" s="29">
        <v>1</v>
      </c>
      <c r="F232" s="17"/>
    </row>
    <row r="233" spans="1:9" ht="25.5" customHeight="1" x14ac:dyDescent="0.2">
      <c r="A233" s="27">
        <v>231</v>
      </c>
      <c r="B233" s="29">
        <v>7057122</v>
      </c>
      <c r="C233" s="29" t="str">
        <f ca="1">IFERROR(__xludf.DUMMYFUNCTION("GOOGLETRANSLATE(C5107,""en"",""hr"")"),"Nosač za ogledalo desno")</f>
        <v>Nosač za ogledalo desno</v>
      </c>
      <c r="D233" s="28" t="s">
        <v>11</v>
      </c>
      <c r="E233" s="29">
        <v>1</v>
      </c>
      <c r="F233" s="17"/>
    </row>
    <row r="234" spans="1:9" ht="25.5" customHeight="1" x14ac:dyDescent="0.2">
      <c r="A234" s="27">
        <v>232</v>
      </c>
      <c r="B234" s="29">
        <v>7057152</v>
      </c>
      <c r="C234" s="29" t="str">
        <f ca="1">IFERROR(__xludf.DUMMYFUNCTION("GOOGLETRANSLATE(C4576,""en"",""hr"")"),"Kontrolni blok")</f>
        <v>Kontrolni blok</v>
      </c>
      <c r="D234" s="28" t="s">
        <v>11</v>
      </c>
      <c r="E234" s="29">
        <v>1</v>
      </c>
      <c r="F234" s="17"/>
    </row>
    <row r="235" spans="1:9" ht="25.5" customHeight="1" x14ac:dyDescent="0.2">
      <c r="A235" s="27">
        <v>233</v>
      </c>
      <c r="B235" s="29">
        <v>7057154</v>
      </c>
      <c r="C235" s="29" t="str">
        <f ca="1">IFERROR(__xludf.DUMMYFUNCTION("GOOGLETRANSLATE(C6144,""en"",""hr"")"),"Kontrolni blok")</f>
        <v>Kontrolni blok</v>
      </c>
      <c r="D235" s="28" t="s">
        <v>11</v>
      </c>
      <c r="E235" s="29">
        <v>1</v>
      </c>
      <c r="F235" s="17"/>
      <c r="I235" s="4" t="b">
        <f>INT(F233*100)=(F233*100)</f>
        <v>1</v>
      </c>
    </row>
    <row r="236" spans="1:9" ht="25.5" customHeight="1" x14ac:dyDescent="0.2">
      <c r="A236" s="27">
        <v>234</v>
      </c>
      <c r="B236" s="29">
        <v>7057157</v>
      </c>
      <c r="C236" s="29" t="str">
        <f ca="1">IFERROR(__xludf.DUMMYFUNCTION("GOOGLETRANSLATE(C15,""en"",""hr"")"),"Filtar zraka kabine")</f>
        <v>Filtar zraka kabine</v>
      </c>
      <c r="D236" s="28" t="s">
        <v>11</v>
      </c>
      <c r="E236" s="29">
        <v>1</v>
      </c>
      <c r="F236" s="17"/>
    </row>
    <row r="237" spans="1:9" ht="25.5" customHeight="1" x14ac:dyDescent="0.2">
      <c r="A237" s="27">
        <v>235</v>
      </c>
      <c r="B237" s="29">
        <v>7057158</v>
      </c>
      <c r="C237" s="29" t="str">
        <f ca="1">IFERROR(__xludf.DUMMYFUNCTION("GOOGLETRANSLATE(C681,""en"",""hr"")"),"Sigurnosna šipka")</f>
        <v>Sigurnosna šipka</v>
      </c>
      <c r="D237" s="28" t="s">
        <v>11</v>
      </c>
      <c r="E237" s="29">
        <v>1</v>
      </c>
      <c r="F237" s="17"/>
    </row>
    <row r="238" spans="1:9" ht="25.5" customHeight="1" x14ac:dyDescent="0.2">
      <c r="A238" s="27">
        <v>236</v>
      </c>
      <c r="B238" s="29">
        <v>7057165</v>
      </c>
      <c r="C238" s="29" t="str">
        <f ca="1">IFERROR(__xludf.DUMMYFUNCTION("GOOGLETRANSLATE(C2054,""en"",""hr"")"),"Hidraulički blok kpl.")</f>
        <v>Hidraulički blok kpl.</v>
      </c>
      <c r="D238" s="28" t="s">
        <v>11</v>
      </c>
      <c r="E238" s="29">
        <v>1</v>
      </c>
      <c r="F238" s="17"/>
      <c r="I238" s="4" t="b">
        <f>INT(F236*100)=(F236*100)</f>
        <v>1</v>
      </c>
    </row>
    <row r="239" spans="1:9" ht="25.5" customHeight="1" x14ac:dyDescent="0.2">
      <c r="A239" s="27">
        <v>237</v>
      </c>
      <c r="B239" s="29">
        <v>7057172</v>
      </c>
      <c r="C239" s="29" t="str">
        <f ca="1">IFERROR(__xludf.DUMMYFUNCTION("GOOGLETRANSLATE(C5514,""en"",""hr"")"),"Zaštita")</f>
        <v>Zaštita</v>
      </c>
      <c r="D239" s="28" t="s">
        <v>11</v>
      </c>
      <c r="E239" s="29">
        <v>1</v>
      </c>
      <c r="F239" s="17"/>
    </row>
    <row r="240" spans="1:9" ht="25.5" customHeight="1" x14ac:dyDescent="0.2">
      <c r="A240" s="27">
        <v>238</v>
      </c>
      <c r="B240" s="29">
        <v>7057207</v>
      </c>
      <c r="C240" s="29" t="str">
        <f ca="1">IFERROR(__xludf.DUMMYFUNCTION("GOOGLETRANSLATE(C978,""en"",""hr"")"),"Oblikovano crijevo")</f>
        <v>Oblikovano crijevo</v>
      </c>
      <c r="D240" s="28" t="s">
        <v>11</v>
      </c>
      <c r="E240" s="29">
        <v>1</v>
      </c>
      <c r="F240" s="17"/>
    </row>
    <row r="241" spans="1:9" ht="25.5" customHeight="1" x14ac:dyDescent="0.2">
      <c r="A241" s="27">
        <v>239</v>
      </c>
      <c r="B241" s="29">
        <v>7057208</v>
      </c>
      <c r="C241" s="29" t="str">
        <f ca="1">IFERROR(__xludf.DUMMYFUNCTION("GOOGLETRANSLATE(C43,""en"",""hr"")"),"Ogledalo grijano")</f>
        <v>Ogledalo grijano</v>
      </c>
      <c r="D241" s="28" t="s">
        <v>11</v>
      </c>
      <c r="E241" s="29">
        <v>1</v>
      </c>
      <c r="F241" s="17"/>
    </row>
    <row r="242" spans="1:9" ht="25.5" customHeight="1" x14ac:dyDescent="0.2">
      <c r="A242" s="27">
        <v>240</v>
      </c>
      <c r="B242" s="29">
        <v>7057280</v>
      </c>
      <c r="C242" s="29" t="str">
        <f ca="1">IFERROR(__xludf.DUMMYFUNCTION("GOOGLETRANSLATE(C5509,""en"",""hr"")"),"Izmjenjivač topline kpl.")</f>
        <v>Izmjenjivač topline kpl.</v>
      </c>
      <c r="D242" s="28" t="s">
        <v>11</v>
      </c>
      <c r="E242" s="29">
        <v>1</v>
      </c>
      <c r="F242" s="17"/>
      <c r="I242" s="4" t="b">
        <f>INT(F240*100)=(F240*100)</f>
        <v>1</v>
      </c>
    </row>
    <row r="243" spans="1:9" ht="25.5" customHeight="1" x14ac:dyDescent="0.2">
      <c r="A243" s="27">
        <v>241</v>
      </c>
      <c r="B243" s="29">
        <v>7057299</v>
      </c>
      <c r="C243" s="29" t="str">
        <f ca="1">IFERROR(__xludf.DUMMYFUNCTION("GOOGLETRANSLATE(C5339,""en"",""hr"")"),"Kontrola topline/izmjenične struje; Pos/Temp,AC+Recikliraj")</f>
        <v>Kontrola topline/izmjenične struje; Pos/Temp,AC+Recikliraj</v>
      </c>
      <c r="D243" s="28" t="s">
        <v>11</v>
      </c>
      <c r="E243" s="29">
        <v>1</v>
      </c>
      <c r="F243" s="17"/>
    </row>
    <row r="244" spans="1:9" ht="25.5" customHeight="1" x14ac:dyDescent="0.2">
      <c r="A244" s="27">
        <v>242</v>
      </c>
      <c r="B244" s="29">
        <v>7057302</v>
      </c>
      <c r="C244" s="29" t="str">
        <f ca="1">IFERROR(__xludf.DUMMYFUNCTION("GOOGLETRANSLATE(C5338,""en"",""hr"")"),"EV kontrola grijanja/izmjene; Pos/Temp,AC+Recikliraj")</f>
        <v>EV kontrola grijanja/izmjene; Pos/Temp,AC+Recikliraj</v>
      </c>
      <c r="D244" s="28" t="s">
        <v>11</v>
      </c>
      <c r="E244" s="29">
        <v>1</v>
      </c>
      <c r="F244" s="17"/>
    </row>
    <row r="245" spans="1:9" ht="25.5" customHeight="1" x14ac:dyDescent="0.2">
      <c r="A245" s="27">
        <v>243</v>
      </c>
      <c r="B245" s="29">
        <v>7057303</v>
      </c>
      <c r="C245" s="29" t="str">
        <f ca="1">IFERROR(__xludf.DUMMYFUNCTION("GOOGLETRANSLATE(C5488,""en"",""hr"")"),"Rešetka")</f>
        <v>Rešetka</v>
      </c>
      <c r="D245" s="28" t="s">
        <v>11</v>
      </c>
      <c r="E245" s="29">
        <v>1</v>
      </c>
      <c r="F245" s="17"/>
    </row>
    <row r="246" spans="1:9" ht="25.5" customHeight="1" x14ac:dyDescent="0.2">
      <c r="A246" s="27">
        <v>244</v>
      </c>
      <c r="B246" s="29">
        <v>7057308</v>
      </c>
      <c r="C246" s="29" t="str">
        <f ca="1">IFERROR(__xludf.DUMMYFUNCTION("GOOGLETRANSLATE(C42,""en"",""hr"")"),"Ogledalo")</f>
        <v>Ogledalo</v>
      </c>
      <c r="D246" s="28" t="s">
        <v>11</v>
      </c>
      <c r="E246" s="29">
        <v>1</v>
      </c>
      <c r="F246" s="17"/>
    </row>
    <row r="247" spans="1:9" ht="25.5" customHeight="1" x14ac:dyDescent="0.2">
      <c r="A247" s="27">
        <v>245</v>
      </c>
      <c r="B247" s="29">
        <v>7057310</v>
      </c>
      <c r="C247" s="29" t="str">
        <f ca="1">IFERROR(__xludf.DUMMYFUNCTION("GOOGLETRANSLATE(C108,""en"",""hr"")"),"Element filtera")</f>
        <v>Element filtera</v>
      </c>
      <c r="D247" s="28" t="s">
        <v>11</v>
      </c>
      <c r="E247" s="29">
        <v>1</v>
      </c>
      <c r="F247" s="17"/>
    </row>
    <row r="248" spans="1:9" ht="25.5" customHeight="1" x14ac:dyDescent="0.2">
      <c r="A248" s="27">
        <v>246</v>
      </c>
      <c r="B248" s="29">
        <v>7057340</v>
      </c>
      <c r="C248" s="29" t="str">
        <f ca="1">IFERROR(__xludf.DUMMYFUNCTION("GOOGLETRANSLATE(C5570,""en"",""hr"")"),"Crijevo")</f>
        <v>Crijevo</v>
      </c>
      <c r="D248" s="28" t="s">
        <v>11</v>
      </c>
      <c r="E248" s="29">
        <v>1</v>
      </c>
      <c r="F248" s="17"/>
    </row>
    <row r="249" spans="1:9" ht="25.5" customHeight="1" x14ac:dyDescent="0.2">
      <c r="A249" s="27">
        <v>247</v>
      </c>
      <c r="B249" s="29">
        <v>7057341</v>
      </c>
      <c r="C249" s="29" t="str">
        <f ca="1">IFERROR(__xludf.DUMMYFUNCTION("GOOGLETRANSLATE(C5568,""en"",""hr"")"),"Crijevo")</f>
        <v>Crijevo</v>
      </c>
      <c r="D249" s="28" t="s">
        <v>11</v>
      </c>
      <c r="E249" s="29">
        <v>1</v>
      </c>
      <c r="F249" s="17"/>
    </row>
    <row r="250" spans="1:9" ht="25.5" customHeight="1" x14ac:dyDescent="0.2">
      <c r="A250" s="27">
        <v>248</v>
      </c>
      <c r="B250" s="29">
        <v>7057342</v>
      </c>
      <c r="C250" s="29" t="str">
        <f ca="1">IFERROR(__xludf.DUMMYFUNCTION("GOOGLETRANSLATE(C5613,""en"",""hr"")"),"Crijevo za rashladno sredstvo")</f>
        <v>Crijevo za rashladno sredstvo</v>
      </c>
      <c r="D250" s="28" t="s">
        <v>11</v>
      </c>
      <c r="E250" s="29">
        <v>1</v>
      </c>
      <c r="F250" s="17"/>
    </row>
    <row r="251" spans="1:9" ht="25.5" customHeight="1" x14ac:dyDescent="0.2">
      <c r="A251" s="27">
        <v>249</v>
      </c>
      <c r="B251" s="29">
        <v>7057343</v>
      </c>
      <c r="C251" s="29" t="str">
        <f ca="1">IFERROR(__xludf.DUMMYFUNCTION("GOOGLETRANSLATE(C5615,""en"",""hr"")"),"Crijevo za rashladno sredstvo")</f>
        <v>Crijevo za rashladno sredstvo</v>
      </c>
      <c r="D251" s="28" t="s">
        <v>11</v>
      </c>
      <c r="E251" s="29">
        <v>1</v>
      </c>
      <c r="F251" s="17"/>
    </row>
    <row r="252" spans="1:9" ht="25.5" customHeight="1" x14ac:dyDescent="0.2">
      <c r="A252" s="27">
        <v>250</v>
      </c>
      <c r="B252" s="29">
        <v>7057344</v>
      </c>
      <c r="C252" s="29" t="str">
        <f ca="1">IFERROR(__xludf.DUMMYFUNCTION("GOOGLETRANSLATE(C5612,""en"",""hr"")"),"Crijevo za rashladno sredstvo")</f>
        <v>Crijevo za rashladno sredstvo</v>
      </c>
      <c r="D252" s="28" t="s">
        <v>11</v>
      </c>
      <c r="E252" s="29">
        <v>1</v>
      </c>
      <c r="F252" s="17"/>
    </row>
    <row r="253" spans="1:9" ht="25.5" customHeight="1" x14ac:dyDescent="0.2">
      <c r="A253" s="27">
        <v>251</v>
      </c>
      <c r="B253" s="29">
        <v>7057345</v>
      </c>
      <c r="C253" s="29" t="str">
        <f ca="1">IFERROR(__xludf.DUMMYFUNCTION("GOOGLETRANSLATE(C5614,""en"",""hr"")"),"Crijevo za rashladno sredstvo")</f>
        <v>Crijevo za rashladno sredstvo</v>
      </c>
      <c r="D253" s="28" t="s">
        <v>11</v>
      </c>
      <c r="E253" s="29">
        <v>1</v>
      </c>
      <c r="F253" s="17"/>
    </row>
    <row r="254" spans="1:9" ht="25.5" customHeight="1" x14ac:dyDescent="0.2">
      <c r="A254" s="27">
        <v>252</v>
      </c>
      <c r="B254" s="29">
        <v>7057346</v>
      </c>
      <c r="C254" s="29" t="str">
        <f ca="1">IFERROR(__xludf.DUMMYFUNCTION("GOOGLETRANSLATE(C5586,""en"",""hr"")"),"Crijevo")</f>
        <v>Crijevo</v>
      </c>
      <c r="D254" s="28" t="s">
        <v>11</v>
      </c>
      <c r="E254" s="29">
        <v>1</v>
      </c>
      <c r="F254" s="17"/>
    </row>
    <row r="255" spans="1:9" ht="25.5" customHeight="1" x14ac:dyDescent="0.2">
      <c r="A255" s="27">
        <v>253</v>
      </c>
      <c r="B255" s="29">
        <v>7057347</v>
      </c>
      <c r="C255" s="29" t="str">
        <f ca="1">IFERROR(__xludf.DUMMYFUNCTION("GOOGLETRANSLATE(C5587,""en"",""hr"")"),"Crijevo")</f>
        <v>Crijevo</v>
      </c>
      <c r="D255" s="28" t="s">
        <v>11</v>
      </c>
      <c r="E255" s="29">
        <v>1</v>
      </c>
      <c r="F255" s="17"/>
    </row>
    <row r="256" spans="1:9" ht="25.5" customHeight="1" x14ac:dyDescent="0.2">
      <c r="A256" s="27">
        <v>254</v>
      </c>
      <c r="B256" s="29">
        <v>7057348</v>
      </c>
      <c r="C256" s="29" t="str">
        <f ca="1">IFERROR(__xludf.DUMMYFUNCTION("GOOGLETRANSLATE(C5589,""en"",""hr"")"),"Crijevo")</f>
        <v>Crijevo</v>
      </c>
      <c r="D256" s="28" t="s">
        <v>11</v>
      </c>
      <c r="E256" s="29">
        <v>1</v>
      </c>
      <c r="F256" s="17"/>
    </row>
    <row r="257" spans="1:9" ht="25.5" customHeight="1" x14ac:dyDescent="0.2">
      <c r="A257" s="27">
        <v>255</v>
      </c>
      <c r="B257" s="29">
        <v>7057349</v>
      </c>
      <c r="C257" s="29" t="str">
        <f ca="1">IFERROR(__xludf.DUMMYFUNCTION("GOOGLETRANSLATE(C5588,""en"",""hr"")"),"Crijevo")</f>
        <v>Crijevo</v>
      </c>
      <c r="D257" s="28" t="s">
        <v>11</v>
      </c>
      <c r="E257" s="29">
        <v>1</v>
      </c>
      <c r="F257" s="17"/>
    </row>
    <row r="258" spans="1:9" ht="25.5" customHeight="1" x14ac:dyDescent="0.2">
      <c r="A258" s="27">
        <v>256</v>
      </c>
      <c r="B258" s="29">
        <v>7057358</v>
      </c>
      <c r="C258" s="29" t="str">
        <f ca="1">IFERROR(__xludf.DUMMYFUNCTION("GOOGLETRANSLATE(C2344,""en"",""hr"")"),"Kontrolni blok")</f>
        <v>Kontrolni blok</v>
      </c>
      <c r="D258" s="28" t="s">
        <v>11</v>
      </c>
      <c r="E258" s="29">
        <v>1</v>
      </c>
      <c r="F258" s="17"/>
    </row>
    <row r="259" spans="1:9" ht="25.5" customHeight="1" x14ac:dyDescent="0.2">
      <c r="A259" s="27">
        <v>257</v>
      </c>
      <c r="B259" s="29">
        <v>7057363</v>
      </c>
      <c r="C259" s="29" t="str">
        <f ca="1">IFERROR(__xludf.DUMMYFUNCTION("GOOGLETRANSLATE(C418,""en"",""hr"")"),"Hidraulično crijevo")</f>
        <v>Hidraulično crijevo</v>
      </c>
      <c r="D259" s="28" t="s">
        <v>11</v>
      </c>
      <c r="E259" s="29">
        <v>1</v>
      </c>
      <c r="F259" s="17"/>
    </row>
    <row r="260" spans="1:9" ht="25.5" customHeight="1" x14ac:dyDescent="0.2">
      <c r="A260" s="27">
        <v>258</v>
      </c>
      <c r="B260" s="29">
        <v>7057365</v>
      </c>
      <c r="C260" s="29" t="str">
        <f ca="1">IFERROR(__xludf.DUMMYFUNCTION("GOOGLETRANSLATE(C419,""en"",""hr"")"),"Hidraulično crijevo")</f>
        <v>Hidraulično crijevo</v>
      </c>
      <c r="D260" s="28" t="s">
        <v>11</v>
      </c>
      <c r="E260" s="29">
        <v>1</v>
      </c>
      <c r="F260" s="17"/>
      <c r="I260" s="4" t="b">
        <f>INT(F258*100)=(F258*100)</f>
        <v>1</v>
      </c>
    </row>
    <row r="261" spans="1:9" ht="25.5" customHeight="1" x14ac:dyDescent="0.2">
      <c r="A261" s="27">
        <v>259</v>
      </c>
      <c r="B261" s="29">
        <v>7057367</v>
      </c>
      <c r="C261" s="29" t="str">
        <f ca="1">IFERROR(__xludf.DUMMYFUNCTION("GOOGLETRANSLATE(C420,""en"",""hr"")"),"Hidraulično crijevo")</f>
        <v>Hidraulično crijevo</v>
      </c>
      <c r="D261" s="28" t="s">
        <v>11</v>
      </c>
      <c r="E261" s="29">
        <v>1</v>
      </c>
      <c r="F261" s="17"/>
    </row>
    <row r="262" spans="1:9" ht="25.5" customHeight="1" x14ac:dyDescent="0.2">
      <c r="A262" s="27">
        <v>260</v>
      </c>
      <c r="B262" s="29">
        <v>7057369</v>
      </c>
      <c r="C262" s="29" t="str">
        <f ca="1">IFERROR(__xludf.DUMMYFUNCTION("GOOGLETRANSLATE(C421,""en"",""hr"")"),"Hidraulično crijevo")</f>
        <v>Hidraulično crijevo</v>
      </c>
      <c r="D262" s="28" t="s">
        <v>11</v>
      </c>
      <c r="E262" s="29">
        <v>1</v>
      </c>
      <c r="F262" s="17"/>
    </row>
    <row r="263" spans="1:9" ht="25.5" customHeight="1" x14ac:dyDescent="0.2">
      <c r="A263" s="27">
        <v>261</v>
      </c>
      <c r="B263" s="29">
        <v>7057391</v>
      </c>
      <c r="C263" s="29" t="str">
        <f ca="1">IFERROR(__xludf.DUMMYFUNCTION("GOOGLETRANSLATE(C5541,""en"",""hr"")"),"Držač")</f>
        <v>Držač</v>
      </c>
      <c r="D263" s="28" t="s">
        <v>11</v>
      </c>
      <c r="E263" s="29">
        <v>1</v>
      </c>
      <c r="F263" s="17"/>
      <c r="I263" s="4" t="b">
        <f>INT(F261*100)=(F261*100)</f>
        <v>1</v>
      </c>
    </row>
    <row r="264" spans="1:9" ht="25.5" customHeight="1" x14ac:dyDescent="0.2">
      <c r="A264" s="27">
        <v>262</v>
      </c>
      <c r="B264" s="29">
        <v>7057436</v>
      </c>
      <c r="C264" s="29" t="str">
        <f ca="1">IFERROR(__xludf.DUMMYFUNCTION("GOOGLETRANSLATE(C6492,""en"",""hr"")"),"Kontrolna jedinica")</f>
        <v>Kontrolna jedinica</v>
      </c>
      <c r="D264" s="28" t="s">
        <v>11</v>
      </c>
      <c r="E264" s="29">
        <v>1</v>
      </c>
      <c r="F264" s="17"/>
    </row>
    <row r="265" spans="1:9" ht="25.5" customHeight="1" x14ac:dyDescent="0.2">
      <c r="A265" s="27">
        <v>263</v>
      </c>
      <c r="B265" s="29">
        <v>7057446</v>
      </c>
      <c r="C265" s="29" t="str">
        <f ca="1">IFERROR(__xludf.DUMMYFUNCTION("GOOGLETRANSLATE(C5654,""en"",""hr"")"),"Vodena cijev")</f>
        <v>Vodena cijev</v>
      </c>
      <c r="D265" s="28" t="s">
        <v>11</v>
      </c>
      <c r="E265" s="29">
        <v>1</v>
      </c>
      <c r="F265" s="17"/>
    </row>
    <row r="266" spans="1:9" ht="25.5" customHeight="1" x14ac:dyDescent="0.2">
      <c r="A266" s="27">
        <v>264</v>
      </c>
      <c r="B266" s="29">
        <v>7057450</v>
      </c>
      <c r="C266" s="29" t="str">
        <f ca="1">IFERROR(__xludf.DUMMYFUNCTION("GOOGLETRANSLATE(C5644,""en"",""hr"")"),"Vodena cijev")</f>
        <v>Vodena cijev</v>
      </c>
      <c r="D266" s="28" t="s">
        <v>11</v>
      </c>
      <c r="E266" s="29">
        <v>1</v>
      </c>
      <c r="F266" s="17"/>
    </row>
    <row r="267" spans="1:9" ht="25.5" customHeight="1" x14ac:dyDescent="0.2">
      <c r="A267" s="27">
        <v>265</v>
      </c>
      <c r="B267" s="29">
        <v>7057469</v>
      </c>
      <c r="C267" s="29" t="str">
        <f ca="1">IFERROR(__xludf.DUMMYFUNCTION("GOOGLETRANSLATE(C1950,""en"",""hr"")"),"Nosač motora Cpl.")</f>
        <v>Nosač motora Cpl.</v>
      </c>
      <c r="D267" s="28" t="s">
        <v>11</v>
      </c>
      <c r="E267" s="29">
        <v>1</v>
      </c>
      <c r="F267" s="17"/>
      <c r="I267" s="4" t="b">
        <f>INT(F265*100)=(F265*100)</f>
        <v>1</v>
      </c>
    </row>
    <row r="268" spans="1:9" ht="25.5" customHeight="1" x14ac:dyDescent="0.2">
      <c r="A268" s="27">
        <v>266</v>
      </c>
      <c r="B268" s="29">
        <v>7057499</v>
      </c>
      <c r="C268" s="29" t="str">
        <f ca="1">IFERROR(__xludf.DUMMYFUNCTION("GOOGLETRANSLATE(C2145,""en"",""hr"")"),"Crijevo")</f>
        <v>Crijevo</v>
      </c>
      <c r="D268" s="28" t="s">
        <v>11</v>
      </c>
      <c r="E268" s="29">
        <v>1</v>
      </c>
      <c r="F268" s="17"/>
    </row>
    <row r="269" spans="1:9" ht="25.5" customHeight="1" x14ac:dyDescent="0.2">
      <c r="A269" s="27">
        <v>267</v>
      </c>
      <c r="B269" s="29">
        <v>7057502</v>
      </c>
      <c r="C269" s="29" t="str">
        <f ca="1">IFERROR(__xludf.DUMMYFUNCTION("GOOGLETRANSLATE(C3625,""en"",""hr"")"),"Ventil za rekuperaciju crijeva")</f>
        <v>Ventil za rekuperaciju crijeva</v>
      </c>
      <c r="D269" s="28" t="s">
        <v>11</v>
      </c>
      <c r="E269" s="29">
        <v>1</v>
      </c>
      <c r="F269" s="17"/>
    </row>
    <row r="270" spans="1:9" ht="25.5" customHeight="1" x14ac:dyDescent="0.2">
      <c r="A270" s="27">
        <v>268</v>
      </c>
      <c r="B270" s="29">
        <v>7057504</v>
      </c>
      <c r="C270" s="29" t="str">
        <f ca="1">IFERROR(__xludf.DUMMYFUNCTION("GOOGLETRANSLATE(C2143,""en"",""hr"")"),"Crijevo")</f>
        <v>Crijevo</v>
      </c>
      <c r="D270" s="28" t="s">
        <v>11</v>
      </c>
      <c r="E270" s="29">
        <v>1</v>
      </c>
      <c r="F270" s="17"/>
    </row>
    <row r="271" spans="1:9" ht="25.5" customHeight="1" x14ac:dyDescent="0.2">
      <c r="A271" s="27">
        <v>269</v>
      </c>
      <c r="B271" s="29">
        <v>7057526</v>
      </c>
      <c r="C271" s="29" t="str">
        <f ca="1">IFERROR(__xludf.DUMMYFUNCTION("GOOGLETRANSLATE(C3626,""en"",""hr"")"),"Povratni ventil za rekuperaciju crijeva")</f>
        <v>Povratni ventil za rekuperaciju crijeva</v>
      </c>
      <c r="D271" s="28" t="s">
        <v>11</v>
      </c>
      <c r="E271" s="29">
        <v>1</v>
      </c>
      <c r="F271" s="17"/>
    </row>
    <row r="272" spans="1:9" ht="25.5" customHeight="1" x14ac:dyDescent="0.2">
      <c r="A272" s="27">
        <v>270</v>
      </c>
      <c r="B272" s="29">
        <v>7057527</v>
      </c>
      <c r="C272" s="29" t="str">
        <f ca="1">IFERROR(__xludf.DUMMYFUNCTION("GOOGLETRANSLATE(C1504,""en"",""hr"")"),"Zaštita")</f>
        <v>Zaštita</v>
      </c>
      <c r="D272" s="28" t="s">
        <v>11</v>
      </c>
      <c r="E272" s="29">
        <v>1</v>
      </c>
      <c r="F272" s="17"/>
    </row>
    <row r="273" spans="1:9" ht="25.5" customHeight="1" x14ac:dyDescent="0.2">
      <c r="A273" s="27">
        <v>271</v>
      </c>
      <c r="B273" s="29">
        <v>7057539</v>
      </c>
      <c r="C273" s="29" t="str">
        <f ca="1">IFERROR(__xludf.DUMMYFUNCTION("GOOGLETRANSLATE(C4989,""en"",""hr"")"),"Gumeni prigušivač")</f>
        <v>Gumeni prigušivač</v>
      </c>
      <c r="D273" s="28" t="s">
        <v>11</v>
      </c>
      <c r="E273" s="29">
        <v>1</v>
      </c>
      <c r="F273" s="17"/>
    </row>
    <row r="274" spans="1:9" ht="25.5" customHeight="1" x14ac:dyDescent="0.2">
      <c r="A274" s="27">
        <v>272</v>
      </c>
      <c r="B274" s="29">
        <v>7057565</v>
      </c>
      <c r="C274" s="29" t="str">
        <f ca="1">IFERROR(__xludf.DUMMYFUNCTION("GOOGLETRANSLATE(C5554,""en"",""hr"")"),"Držač")</f>
        <v>Držač</v>
      </c>
      <c r="D274" s="28" t="s">
        <v>11</v>
      </c>
      <c r="E274" s="29">
        <v>1</v>
      </c>
      <c r="F274" s="17"/>
    </row>
    <row r="275" spans="1:9" ht="25.5" customHeight="1" x14ac:dyDescent="0.2">
      <c r="A275" s="27">
        <v>273</v>
      </c>
      <c r="B275" s="29">
        <v>7057578</v>
      </c>
      <c r="C275" s="29" t="str">
        <f ca="1">IFERROR(__xludf.DUMMYFUNCTION("GOOGLETRANSLATE(C4376,""en"",""hr"")"),"Pristupni poklopac")</f>
        <v>Pristupni poklopac</v>
      </c>
      <c r="D275" s="28" t="s">
        <v>11</v>
      </c>
      <c r="E275" s="29">
        <v>1</v>
      </c>
      <c r="F275" s="17"/>
    </row>
    <row r="276" spans="1:9" ht="25.5" customHeight="1" x14ac:dyDescent="0.2">
      <c r="A276" s="27">
        <v>274</v>
      </c>
      <c r="B276" s="29">
        <v>7057600</v>
      </c>
      <c r="C276" s="29" t="str">
        <f ca="1">IFERROR(__xludf.DUMMYFUNCTION("GOOGLETRANSLATE(C5203,""en"",""hr"")"),"Motor brisača vjetrobrana")</f>
        <v>Motor brisača vjetrobrana</v>
      </c>
      <c r="D276" s="28" t="s">
        <v>11</v>
      </c>
      <c r="E276" s="29">
        <v>1</v>
      </c>
      <c r="F276" s="17"/>
    </row>
    <row r="277" spans="1:9" ht="25.5" customHeight="1" x14ac:dyDescent="0.2">
      <c r="A277" s="27">
        <v>275</v>
      </c>
      <c r="B277" s="29">
        <v>7057605</v>
      </c>
      <c r="C277" s="29" t="str">
        <f ca="1">IFERROR(__xludf.DUMMYFUNCTION("GOOGLETRANSLATE(C5205,""en"",""hr"")"),"Ruka brisača")</f>
        <v>Ruka brisača</v>
      </c>
      <c r="D277" s="28" t="s">
        <v>11</v>
      </c>
      <c r="E277" s="29">
        <v>1</v>
      </c>
      <c r="F277" s="17"/>
    </row>
    <row r="278" spans="1:9" ht="25.5" customHeight="1" x14ac:dyDescent="0.2">
      <c r="A278" s="27">
        <v>276</v>
      </c>
      <c r="B278" s="29">
        <v>7057606</v>
      </c>
      <c r="C278" s="29" t="str">
        <f ca="1">IFERROR(__xludf.DUMMYFUNCTION("GOOGLETRANSLATE(C14,""en"",""hr"")"),"Metlica brisača")</f>
        <v>Metlica brisača</v>
      </c>
      <c r="D278" s="28" t="s">
        <v>11</v>
      </c>
      <c r="E278" s="29">
        <v>1</v>
      </c>
      <c r="F278" s="17"/>
    </row>
    <row r="279" spans="1:9" ht="25.5" customHeight="1" x14ac:dyDescent="0.2">
      <c r="A279" s="27">
        <v>277</v>
      </c>
      <c r="B279" s="29">
        <v>7057613</v>
      </c>
      <c r="C279" s="29" t="str">
        <f ca="1">IFERROR(__xludf.DUMMYFUNCTION("GOOGLETRANSLATE(C5394,""en"",""hr"")"),"Distribucijski blok upravljača")</f>
        <v>Distribucijski blok upravljača</v>
      </c>
      <c r="D279" s="28" t="s">
        <v>11</v>
      </c>
      <c r="E279" s="29">
        <v>1</v>
      </c>
      <c r="F279" s="17"/>
    </row>
    <row r="280" spans="1:9" ht="25.5" customHeight="1" x14ac:dyDescent="0.2">
      <c r="A280" s="27">
        <v>278</v>
      </c>
      <c r="B280" s="29">
        <v>7057642</v>
      </c>
      <c r="C280" s="29" t="str">
        <f ca="1">IFERROR(__xludf.DUMMYFUNCTION("GOOGLETRANSLATE(C3158,""en"",""hr"")"),"Distantni grm")</f>
        <v>Distantni grm</v>
      </c>
      <c r="D280" s="28" t="s">
        <v>11</v>
      </c>
      <c r="E280" s="29">
        <v>1</v>
      </c>
      <c r="F280" s="17"/>
    </row>
    <row r="281" spans="1:9" ht="25.5" customHeight="1" x14ac:dyDescent="0.2">
      <c r="A281" s="27">
        <v>279</v>
      </c>
      <c r="B281" s="29">
        <v>7057651</v>
      </c>
      <c r="C281" s="29" t="str">
        <f ca="1">IFERROR(__xludf.DUMMYFUNCTION("GOOGLETRANSLATE(C302,""en"",""hr"")"),"Držač hidraulični desni")</f>
        <v>Držač hidraulični desni</v>
      </c>
      <c r="D281" s="28" t="s">
        <v>11</v>
      </c>
      <c r="E281" s="29">
        <v>1</v>
      </c>
      <c r="F281" s="17"/>
    </row>
    <row r="282" spans="1:9" ht="25.5" customHeight="1" x14ac:dyDescent="0.2">
      <c r="A282" s="27">
        <v>280</v>
      </c>
      <c r="B282" s="29">
        <v>7057654</v>
      </c>
      <c r="C282" s="29" t="str">
        <f ca="1">IFERROR(__xludf.DUMMYFUNCTION("GOOGLETRANSLATE(C344,""en"",""hr"")"),"Držač")</f>
        <v>Držač</v>
      </c>
      <c r="D282" s="28" t="s">
        <v>11</v>
      </c>
      <c r="E282" s="29">
        <v>1</v>
      </c>
      <c r="F282" s="17"/>
    </row>
    <row r="283" spans="1:9" ht="25.5" customHeight="1" x14ac:dyDescent="0.2">
      <c r="A283" s="27">
        <v>281</v>
      </c>
      <c r="B283" s="29">
        <v>7057679</v>
      </c>
      <c r="C283" s="29" t="str">
        <f ca="1">IFERROR(__xludf.DUMMYFUNCTION("GOOGLETRANSLATE(C4364,""en"",""hr"")"),"Perilica")</f>
        <v>Perilica</v>
      </c>
      <c r="D283" s="28" t="s">
        <v>11</v>
      </c>
      <c r="E283" s="29">
        <v>1</v>
      </c>
      <c r="F283" s="17"/>
    </row>
    <row r="284" spans="1:9" ht="25.5" customHeight="1" x14ac:dyDescent="0.2">
      <c r="A284" s="27">
        <v>282</v>
      </c>
      <c r="B284" s="29">
        <v>7057694</v>
      </c>
      <c r="C284" s="29" t="str">
        <f ca="1">IFERROR(__xludf.DUMMYFUNCTION("GOOGLETRANSLATE(C541,""en"",""hr"")"),"Crijevo")</f>
        <v>Crijevo</v>
      </c>
      <c r="D284" s="28" t="s">
        <v>11</v>
      </c>
      <c r="E284" s="29">
        <v>1</v>
      </c>
      <c r="F284" s="17"/>
    </row>
    <row r="285" spans="1:9" ht="25.5" customHeight="1" x14ac:dyDescent="0.2">
      <c r="A285" s="27">
        <v>283</v>
      </c>
      <c r="B285" s="29">
        <v>7057704</v>
      </c>
      <c r="C285" s="29" t="str">
        <f ca="1">IFERROR(__xludf.DUMMYFUNCTION("GOOGLETRANSLATE(C509,""en"",""hr"")"),"Cijev")</f>
        <v>Cijev</v>
      </c>
      <c r="D285" s="28" t="s">
        <v>11</v>
      </c>
      <c r="E285" s="29">
        <v>1</v>
      </c>
      <c r="F285" s="17"/>
    </row>
    <row r="286" spans="1:9" ht="25.5" customHeight="1" x14ac:dyDescent="0.2">
      <c r="A286" s="27">
        <v>284</v>
      </c>
      <c r="B286" s="29">
        <v>7057710</v>
      </c>
      <c r="C286" s="29" t="str">
        <f ca="1">IFERROR(__xludf.DUMMYFUNCTION("GOOGLETRANSLATE(C511,""en"",""hr"")"),"Cijev")</f>
        <v>Cijev</v>
      </c>
      <c r="D286" s="28" t="s">
        <v>11</v>
      </c>
      <c r="E286" s="29">
        <v>1</v>
      </c>
      <c r="F286" s="17"/>
      <c r="I286" s="4" t="b">
        <f>INT(F284*100)=(F284*100)</f>
        <v>1</v>
      </c>
    </row>
    <row r="287" spans="1:9" ht="25.5" customHeight="1" x14ac:dyDescent="0.2">
      <c r="A287" s="27">
        <v>285</v>
      </c>
      <c r="B287" s="29">
        <v>7057735</v>
      </c>
      <c r="C287" s="29" t="str">
        <f ca="1">IFERROR(__xludf.DUMMYFUNCTION("GOOGLETRANSLATE(C5518,""en"",""hr"")"),"Brtvena ploča")</f>
        <v>Brtvena ploča</v>
      </c>
      <c r="D287" s="28" t="s">
        <v>11</v>
      </c>
      <c r="E287" s="29">
        <v>1</v>
      </c>
      <c r="F287" s="17"/>
    </row>
    <row r="288" spans="1:9" ht="25.5" customHeight="1" x14ac:dyDescent="0.2">
      <c r="A288" s="27">
        <v>286</v>
      </c>
      <c r="B288" s="29">
        <v>7057738</v>
      </c>
      <c r="C288" s="29" t="str">
        <f ca="1">IFERROR(__xludf.DUMMYFUNCTION("GOOGLETRANSLATE(C2040,""en"",""hr"")"),"Hidraulički cilindar")</f>
        <v>Hidraulički cilindar</v>
      </c>
      <c r="D288" s="28" t="s">
        <v>11</v>
      </c>
      <c r="E288" s="29">
        <v>1</v>
      </c>
      <c r="F288" s="17"/>
    </row>
    <row r="289" spans="1:9" ht="25.5" customHeight="1" x14ac:dyDescent="0.2">
      <c r="A289" s="27">
        <v>287</v>
      </c>
      <c r="B289" s="29">
        <v>7057753</v>
      </c>
      <c r="C289" s="29" t="str">
        <f ca="1">IFERROR(__xludf.DUMMYFUNCTION("GOOGLETRANSLATE(C1939,""en"",""hr"")"),"Ruka ploče cilindra")</f>
        <v>Ruka ploče cilindra</v>
      </c>
      <c r="D289" s="28" t="s">
        <v>11</v>
      </c>
      <c r="E289" s="29">
        <v>1</v>
      </c>
      <c r="F289" s="17"/>
      <c r="I289" s="4" t="b">
        <f>INT(F287*100)=(F287*100)</f>
        <v>1</v>
      </c>
    </row>
    <row r="290" spans="1:9" ht="25.5" customHeight="1" x14ac:dyDescent="0.2">
      <c r="A290" s="27">
        <v>288</v>
      </c>
      <c r="B290" s="29">
        <v>7057762</v>
      </c>
      <c r="C290" s="29" t="str">
        <f ca="1">IFERROR(__xludf.DUMMYFUNCTION("GOOGLETRANSLATE(C1947,""en"",""hr"")"),"Cilindar")</f>
        <v>Cilindar</v>
      </c>
      <c r="D290" s="28" t="s">
        <v>11</v>
      </c>
      <c r="E290" s="29">
        <v>1</v>
      </c>
      <c r="F290" s="17"/>
    </row>
    <row r="291" spans="1:9" ht="25.5" customHeight="1" x14ac:dyDescent="0.2">
      <c r="A291" s="27">
        <v>289</v>
      </c>
      <c r="B291" s="29">
        <v>7057786</v>
      </c>
      <c r="C291" s="29" t="str">
        <f ca="1">IFERROR(__xludf.DUMMYFUNCTION("GOOGLETRANSLATE(C326,""en"",""hr"")"),"Front podrške")</f>
        <v>Front podrške</v>
      </c>
      <c r="D291" s="28" t="s">
        <v>11</v>
      </c>
      <c r="E291" s="29">
        <v>1</v>
      </c>
      <c r="F291" s="17"/>
    </row>
    <row r="292" spans="1:9" ht="25.5" customHeight="1" x14ac:dyDescent="0.2">
      <c r="A292" s="27">
        <v>290</v>
      </c>
      <c r="B292" s="29">
        <v>7057855</v>
      </c>
      <c r="C292" s="29" t="str">
        <f ca="1">IFERROR(__xludf.DUMMYFUNCTION("GOOGLETRANSLATE(C6362,""en"",""hr"")"),"Čvor")</f>
        <v>Čvor</v>
      </c>
      <c r="D292" s="28" t="s">
        <v>11</v>
      </c>
      <c r="E292" s="29">
        <v>1</v>
      </c>
      <c r="F292" s="17"/>
    </row>
    <row r="293" spans="1:9" ht="25.5" customHeight="1" x14ac:dyDescent="0.2">
      <c r="A293" s="27">
        <v>291</v>
      </c>
      <c r="B293" s="29">
        <v>7057910</v>
      </c>
      <c r="C293" s="29" t="str">
        <f ca="1">IFERROR(__xludf.DUMMYFUNCTION("GOOGLETRANSLATE(C6175,""en"",""hr"")"),"Kontrolni blok")</f>
        <v>Kontrolni blok</v>
      </c>
      <c r="D293" s="28" t="s">
        <v>11</v>
      </c>
      <c r="E293" s="29">
        <v>1</v>
      </c>
      <c r="F293" s="17"/>
      <c r="I293" s="4" t="b">
        <f>INT(F291*100)=(F291*100)</f>
        <v>1</v>
      </c>
    </row>
    <row r="294" spans="1:9" ht="25.5" customHeight="1" x14ac:dyDescent="0.2">
      <c r="A294" s="27">
        <v>292</v>
      </c>
      <c r="B294" s="29">
        <v>7057955</v>
      </c>
      <c r="C294" s="29" t="str">
        <f ca="1">IFERROR(__xludf.DUMMYFUNCTION("GOOGLETRANSLATE(C451,""en"",""hr"")"),"Ploča s navojem")</f>
        <v>Ploča s navojem</v>
      </c>
      <c r="D294" s="28" t="s">
        <v>11</v>
      </c>
      <c r="E294" s="29">
        <v>1</v>
      </c>
      <c r="F294" s="17"/>
    </row>
    <row r="295" spans="1:9" ht="25.5" customHeight="1" x14ac:dyDescent="0.2">
      <c r="A295" s="27">
        <v>293</v>
      </c>
      <c r="B295" s="29">
        <v>7057969</v>
      </c>
      <c r="C295" s="29" t="str">
        <f ca="1">IFERROR(__xludf.DUMMYFUNCTION("GOOGLETRANSLATE(C5781,""en"",""hr"")"),"Motor s kandžastom spojkom")</f>
        <v>Motor s kandžastom spojkom</v>
      </c>
      <c r="D295" s="28" t="s">
        <v>11</v>
      </c>
      <c r="E295" s="29">
        <v>1</v>
      </c>
      <c r="F295" s="17"/>
    </row>
    <row r="296" spans="1:9" ht="25.5" customHeight="1" x14ac:dyDescent="0.2">
      <c r="A296" s="27">
        <v>294</v>
      </c>
      <c r="B296" s="29">
        <v>7057973</v>
      </c>
      <c r="C296" s="29" t="str">
        <f ca="1">IFERROR(__xludf.DUMMYFUNCTION("GOOGLETRANSLATE(C1587,""en"",""hr"")"),"Isječak")</f>
        <v>Isječak</v>
      </c>
      <c r="D296" s="28" t="s">
        <v>11</v>
      </c>
      <c r="E296" s="29">
        <v>1</v>
      </c>
      <c r="F296" s="17"/>
    </row>
    <row r="297" spans="1:9" ht="25.5" customHeight="1" x14ac:dyDescent="0.2">
      <c r="A297" s="27">
        <v>295</v>
      </c>
      <c r="B297" s="29">
        <v>7058042</v>
      </c>
      <c r="C297" s="29" t="str">
        <f ca="1">IFERROR(__xludf.DUMMYFUNCTION("GOOGLETRANSLATE(C5399,""en"",""hr"")"),"upravljački orbitrol")</f>
        <v>upravljački orbitrol</v>
      </c>
      <c r="D297" s="28" t="s">
        <v>11</v>
      </c>
      <c r="E297" s="29">
        <v>1</v>
      </c>
      <c r="F297" s="17"/>
    </row>
    <row r="298" spans="1:9" ht="25.5" customHeight="1" x14ac:dyDescent="0.2">
      <c r="A298" s="27">
        <v>296</v>
      </c>
      <c r="B298" s="29">
        <v>7058126</v>
      </c>
      <c r="C298" s="29" t="str">
        <f ca="1">IFERROR(__xludf.DUMMYFUNCTION("GOOGLETRANSLATE(C63,""en"",""hr"")"),"Udarni disk")</f>
        <v>Udarni disk</v>
      </c>
      <c r="D298" s="28" t="s">
        <v>11</v>
      </c>
      <c r="E298" s="29">
        <v>1</v>
      </c>
      <c r="F298" s="17"/>
    </row>
    <row r="299" spans="1:9" ht="25.5" customHeight="1" x14ac:dyDescent="0.2">
      <c r="A299" s="27">
        <v>297</v>
      </c>
      <c r="B299" s="29">
        <v>7058235</v>
      </c>
      <c r="C299" s="29" t="str">
        <f ca="1">IFERROR(__xludf.DUMMYFUNCTION("GOOGLETRANSLATE(C2014,""en"",""hr"")"),"Uvrtni komad")</f>
        <v>Uvrtni komad</v>
      </c>
      <c r="D299" s="28" t="s">
        <v>11</v>
      </c>
      <c r="E299" s="29">
        <v>1</v>
      </c>
      <c r="F299" s="17"/>
    </row>
    <row r="300" spans="1:9" ht="25.5" customHeight="1" x14ac:dyDescent="0.2">
      <c r="A300" s="27">
        <v>298</v>
      </c>
      <c r="B300" s="29">
        <v>7058238</v>
      </c>
      <c r="C300" s="29" t="str">
        <f ca="1">IFERROR(__xludf.DUMMYFUNCTION("GOOGLETRANSLATE(C694,""en"",""hr"")"),"Uvrtni komad")</f>
        <v>Uvrtni komad</v>
      </c>
      <c r="D300" s="28" t="s">
        <v>11</v>
      </c>
      <c r="E300" s="29">
        <v>1</v>
      </c>
      <c r="F300" s="17"/>
    </row>
    <row r="301" spans="1:9" ht="25.5" customHeight="1" x14ac:dyDescent="0.2">
      <c r="A301" s="27">
        <v>299</v>
      </c>
      <c r="B301" s="29">
        <v>7058314</v>
      </c>
      <c r="C301" s="29" t="str">
        <f ca="1">IFERROR(__xludf.DUMMYFUNCTION("GOOGLETRANSLATE(C1913,""en"",""hr"")"),"Elastomerna opruga")</f>
        <v>Elastomerna opruga</v>
      </c>
      <c r="D301" s="28" t="s">
        <v>11</v>
      </c>
      <c r="E301" s="29">
        <v>1</v>
      </c>
      <c r="F301" s="17"/>
    </row>
    <row r="302" spans="1:9" ht="25.5" customHeight="1" x14ac:dyDescent="0.2">
      <c r="A302" s="27">
        <v>300</v>
      </c>
      <c r="B302" s="29">
        <v>7058344</v>
      </c>
      <c r="C302" s="29" t="str">
        <f ca="1">IFERROR(__xludf.DUMMYFUNCTION("GOOGLETRANSLATE(C6657,""en"",""hr"")"),"Vodilica")</f>
        <v>Vodilica</v>
      </c>
      <c r="D302" s="28" t="s">
        <v>11</v>
      </c>
      <c r="E302" s="29">
        <v>1</v>
      </c>
      <c r="F302" s="17"/>
    </row>
    <row r="303" spans="1:9" ht="25.5" customHeight="1" x14ac:dyDescent="0.2">
      <c r="A303" s="27">
        <v>301</v>
      </c>
      <c r="B303" s="29">
        <v>7058361</v>
      </c>
      <c r="C303" s="29" t="str">
        <f ca="1">IFERROR(__xludf.DUMMYFUNCTION("GOOGLETRANSLATE(C6653,""en"",""hr"")"),"Držač")</f>
        <v>Držač</v>
      </c>
      <c r="D303" s="28" t="s">
        <v>11</v>
      </c>
      <c r="E303" s="29">
        <v>1</v>
      </c>
      <c r="F303" s="17"/>
    </row>
    <row r="304" spans="1:9" ht="25.5" customHeight="1" x14ac:dyDescent="0.2">
      <c r="A304" s="27">
        <v>302</v>
      </c>
      <c r="B304" s="29">
        <v>7058362</v>
      </c>
      <c r="C304" s="29" t="str">
        <f ca="1">IFERROR(__xludf.DUMMYFUNCTION("GOOGLETRANSLATE(C5,""en"",""hr"")"),"Gumena podloška")</f>
        <v>Gumena podloška</v>
      </c>
      <c r="D304" s="28" t="s">
        <v>11</v>
      </c>
      <c r="E304" s="29">
        <v>1</v>
      </c>
      <c r="F304" s="17"/>
    </row>
    <row r="305" spans="1:9" ht="25.5" customHeight="1" x14ac:dyDescent="0.2">
      <c r="A305" s="27">
        <v>303</v>
      </c>
      <c r="B305" s="29">
        <v>7058603</v>
      </c>
      <c r="C305" s="29" t="str">
        <f ca="1">IFERROR(__xludf.DUMMYFUNCTION("GOOGLETRANSLATE(C1176,""en"",""hr"")"),"Držač")</f>
        <v>Držač</v>
      </c>
      <c r="D305" s="28" t="s">
        <v>11</v>
      </c>
      <c r="E305" s="29">
        <v>1</v>
      </c>
      <c r="F305" s="17"/>
    </row>
    <row r="306" spans="1:9" ht="25.5" customHeight="1" x14ac:dyDescent="0.2">
      <c r="A306" s="27">
        <v>304</v>
      </c>
      <c r="B306" s="29">
        <v>7058605</v>
      </c>
      <c r="C306" s="29" t="str">
        <f ca="1">IFERROR(__xludf.DUMMYFUNCTION("GOOGLETRANSLATE(C1173,""en"",""hr"")"),"Držač")</f>
        <v>Držač</v>
      </c>
      <c r="D306" s="28" t="s">
        <v>11</v>
      </c>
      <c r="E306" s="29">
        <v>1</v>
      </c>
      <c r="F306" s="17"/>
    </row>
    <row r="307" spans="1:9" ht="25.5" customHeight="1" x14ac:dyDescent="0.2">
      <c r="A307" s="27">
        <v>305</v>
      </c>
      <c r="B307" s="29">
        <v>7058610</v>
      </c>
      <c r="C307" s="29" t="str">
        <f ca="1">IFERROR(__xludf.DUMMYFUNCTION("GOOGLETRANSLATE(C1128,""en"",""hr"")"),"Držač")</f>
        <v>Držač</v>
      </c>
      <c r="D307" s="28" t="s">
        <v>11</v>
      </c>
      <c r="E307" s="29">
        <v>1</v>
      </c>
      <c r="F307" s="17"/>
    </row>
    <row r="308" spans="1:9" ht="25.5" customHeight="1" x14ac:dyDescent="0.2">
      <c r="A308" s="27">
        <v>306</v>
      </c>
      <c r="B308" s="29">
        <v>7058620</v>
      </c>
      <c r="C308" s="29" t="str">
        <f ca="1">IFERROR(__xludf.DUMMYFUNCTION("GOOGLETRANSLATE(C4179,""en"",""hr"")"),"Razmaknica")</f>
        <v>Razmaknica</v>
      </c>
      <c r="D308" s="28" t="s">
        <v>11</v>
      </c>
      <c r="E308" s="29">
        <v>1</v>
      </c>
      <c r="F308" s="17"/>
    </row>
    <row r="309" spans="1:9" ht="25.5" customHeight="1" x14ac:dyDescent="0.2">
      <c r="A309" s="27">
        <v>307</v>
      </c>
      <c r="B309" s="29">
        <v>7058633</v>
      </c>
      <c r="C309" s="29" t="str">
        <f ca="1">IFERROR(__xludf.DUMMYFUNCTION("GOOGLETRANSLATE(C3135,""en"",""hr"")"),"Stezni element")</f>
        <v>Stezni element</v>
      </c>
      <c r="D309" s="28" t="s">
        <v>11</v>
      </c>
      <c r="E309" s="29">
        <v>1</v>
      </c>
      <c r="F309" s="17"/>
    </row>
    <row r="310" spans="1:9" ht="25.5" customHeight="1" x14ac:dyDescent="0.2">
      <c r="A310" s="27">
        <v>308</v>
      </c>
      <c r="B310" s="29">
        <v>7058638</v>
      </c>
      <c r="C310" s="29" t="str">
        <f ca="1">IFERROR(__xludf.DUMMYFUNCTION("GOOGLETRANSLATE(C4438,""en"",""hr"")"),"Konus za centriranje")</f>
        <v>Konus za centriranje</v>
      </c>
      <c r="D310" s="28" t="s">
        <v>11</v>
      </c>
      <c r="E310" s="29">
        <v>1</v>
      </c>
      <c r="F310" s="17"/>
    </row>
    <row r="311" spans="1:9" ht="25.5" customHeight="1" x14ac:dyDescent="0.2">
      <c r="A311" s="27">
        <v>309</v>
      </c>
      <c r="B311" s="29">
        <v>7058639</v>
      </c>
      <c r="C311" s="29" t="str">
        <f ca="1">IFERROR(__xludf.DUMMYFUNCTION("GOOGLETRANSLATE(C2025,""en"",""hr"")"),"Čahura")</f>
        <v>Čahura</v>
      </c>
      <c r="D311" s="28" t="s">
        <v>11</v>
      </c>
      <c r="E311" s="29">
        <v>1</v>
      </c>
      <c r="F311" s="17"/>
      <c r="I311" s="4" t="b">
        <f>INT(F309*100)=(F309*100)</f>
        <v>1</v>
      </c>
    </row>
    <row r="312" spans="1:9" ht="25.5" customHeight="1" x14ac:dyDescent="0.2">
      <c r="A312" s="27">
        <v>310</v>
      </c>
      <c r="B312" s="29">
        <v>7058655</v>
      </c>
      <c r="C312" s="29" t="str">
        <f ca="1">IFERROR(__xludf.DUMMYFUNCTION("GOOGLETRANSLATE(C3142,""en"",""hr"")"),"Rotacijski dio")</f>
        <v>Rotacijski dio</v>
      </c>
      <c r="D312" s="28" t="s">
        <v>11</v>
      </c>
      <c r="E312" s="29">
        <v>1</v>
      </c>
      <c r="F312" s="17"/>
    </row>
    <row r="313" spans="1:9" ht="25.5" customHeight="1" x14ac:dyDescent="0.2">
      <c r="A313" s="27">
        <v>311</v>
      </c>
      <c r="B313" s="29">
        <v>7058656</v>
      </c>
      <c r="C313" s="29" t="str">
        <f ca="1">IFERROR(__xludf.DUMMYFUNCTION("GOOGLETRANSLATE(C30,""en"",""hr"")"),"Spremnik za vodu na vjetrobranskom staklu kpl.")</f>
        <v>Spremnik za vodu na vjetrobranskom staklu kpl.</v>
      </c>
      <c r="D313" s="28" t="s">
        <v>11</v>
      </c>
      <c r="E313" s="29">
        <v>1</v>
      </c>
      <c r="F313" s="17"/>
    </row>
    <row r="314" spans="1:9" ht="25.5" customHeight="1" x14ac:dyDescent="0.2">
      <c r="A314" s="27">
        <v>312</v>
      </c>
      <c r="B314" s="29">
        <v>7058659</v>
      </c>
      <c r="C314" s="29" t="str">
        <f ca="1">IFERROR(__xludf.DUMMYFUNCTION("GOOGLETRANSLATE(C6779,""en"",""hr"")"),"Ljepljiva ploča")</f>
        <v>Ljepljiva ploča</v>
      </c>
      <c r="D314" s="28" t="s">
        <v>11</v>
      </c>
      <c r="E314" s="29">
        <v>1</v>
      </c>
      <c r="F314" s="17"/>
      <c r="I314" s="4" t="b">
        <f>INT(F312*100)=(F312*100)</f>
        <v>1</v>
      </c>
    </row>
    <row r="315" spans="1:9" ht="25.5" customHeight="1" x14ac:dyDescent="0.2">
      <c r="A315" s="27">
        <v>313</v>
      </c>
      <c r="B315" s="29">
        <v>7058660</v>
      </c>
      <c r="C315" s="29" t="str">
        <f ca="1">IFERROR(__xludf.DUMMYFUNCTION("GOOGLETRANSLATE(C3122,""en"",""hr"")"),"Provodnik bušotine")</f>
        <v>Provodnik bušotine</v>
      </c>
      <c r="D315" s="28" t="s">
        <v>11</v>
      </c>
      <c r="E315" s="29">
        <v>1</v>
      </c>
      <c r="F315" s="17"/>
    </row>
    <row r="316" spans="1:9" ht="25.5" customHeight="1" x14ac:dyDescent="0.2">
      <c r="A316" s="27">
        <v>314</v>
      </c>
      <c r="B316" s="29">
        <v>7058662</v>
      </c>
      <c r="C316" s="29" t="str">
        <f ca="1">IFERROR(__xludf.DUMMYFUNCTION("GOOGLETRANSLATE(C3145,""en"",""hr"")"),"Gornji okretni dio")</f>
        <v>Gornji okretni dio</v>
      </c>
      <c r="D316" s="28" t="s">
        <v>11</v>
      </c>
      <c r="E316" s="29">
        <v>1</v>
      </c>
      <c r="F316" s="17"/>
    </row>
    <row r="317" spans="1:9" ht="25.5" customHeight="1" x14ac:dyDescent="0.2">
      <c r="A317" s="27">
        <v>315</v>
      </c>
      <c r="B317" s="29">
        <v>7058667</v>
      </c>
      <c r="C317" s="29" t="str">
        <f ca="1">IFERROR(__xludf.DUMMYFUNCTION("GOOGLETRANSLATE(C5659,""en"",""hr"")"),"Metalni lim")</f>
        <v>Metalni lim</v>
      </c>
      <c r="D317" s="28" t="s">
        <v>11</v>
      </c>
      <c r="E317" s="29">
        <v>1</v>
      </c>
      <c r="F317" s="17"/>
    </row>
    <row r="318" spans="1:9" ht="25.5" customHeight="1" x14ac:dyDescent="0.2">
      <c r="A318" s="27">
        <v>316</v>
      </c>
      <c r="B318" s="29">
        <v>7058704</v>
      </c>
      <c r="C318" s="29" t="str">
        <f ca="1">IFERROR(__xludf.DUMMYFUNCTION("GOOGLETRANSLATE(C4546,""en"",""hr"")"),"Cijev")</f>
        <v>Cijev</v>
      </c>
      <c r="D318" s="28" t="s">
        <v>11</v>
      </c>
      <c r="E318" s="29">
        <v>1</v>
      </c>
      <c r="F318" s="17"/>
      <c r="I318" s="4" t="b">
        <f>INT(F316*100)=(F316*100)</f>
        <v>1</v>
      </c>
    </row>
    <row r="319" spans="1:9" ht="25.5" customHeight="1" x14ac:dyDescent="0.2">
      <c r="A319" s="27">
        <v>317</v>
      </c>
      <c r="B319" s="29">
        <v>7058705</v>
      </c>
      <c r="C319" s="29" t="str">
        <f ca="1">IFERROR(__xludf.DUMMYFUNCTION("GOOGLETRANSLATE(C4547,""en"",""hr"")"),"Cijev")</f>
        <v>Cijev</v>
      </c>
      <c r="D319" s="28" t="s">
        <v>11</v>
      </c>
      <c r="E319" s="29">
        <v>1</v>
      </c>
      <c r="F319" s="17"/>
    </row>
    <row r="320" spans="1:9" ht="25.5" customHeight="1" x14ac:dyDescent="0.2">
      <c r="A320" s="27">
        <v>318</v>
      </c>
      <c r="B320" s="29">
        <v>7058706</v>
      </c>
      <c r="C320" s="29" t="str">
        <f ca="1">IFERROR(__xludf.DUMMYFUNCTION("GOOGLETRANSLATE(C4548,""en"",""hr"")"),"Cijev")</f>
        <v>Cijev</v>
      </c>
      <c r="D320" s="28" t="s">
        <v>11</v>
      </c>
      <c r="E320" s="29">
        <v>1</v>
      </c>
      <c r="F320" s="17"/>
    </row>
    <row r="321" spans="1:6" ht="25.5" customHeight="1" x14ac:dyDescent="0.2">
      <c r="A321" s="27">
        <v>319</v>
      </c>
      <c r="B321" s="29">
        <v>7058756</v>
      </c>
      <c r="C321" s="29" t="str">
        <f ca="1">IFERROR(__xludf.DUMMYFUNCTION("GOOGLETRANSLATE(C5923,""en"",""hr"")"),"Dvostruka stezaljka za cijevi")</f>
        <v>Dvostruka stezaljka za cijevi</v>
      </c>
      <c r="D321" s="28" t="s">
        <v>11</v>
      </c>
      <c r="E321" s="29">
        <v>1</v>
      </c>
      <c r="F321" s="17"/>
    </row>
    <row r="322" spans="1:6" ht="25.5" customHeight="1" x14ac:dyDescent="0.2">
      <c r="A322" s="27">
        <v>320</v>
      </c>
      <c r="B322" s="29">
        <v>7058803</v>
      </c>
      <c r="C322" s="29" t="str">
        <f ca="1">IFERROR(__xludf.DUMMYFUNCTION("GOOGLETRANSLATE(C9,""en"",""hr"")"),"Montažni set")</f>
        <v>Montažni set</v>
      </c>
      <c r="D322" s="28" t="s">
        <v>11</v>
      </c>
      <c r="E322" s="29">
        <v>1</v>
      </c>
      <c r="F322" s="17"/>
    </row>
    <row r="323" spans="1:6" ht="25.5" customHeight="1" x14ac:dyDescent="0.2">
      <c r="A323" s="27">
        <v>321</v>
      </c>
      <c r="B323" s="29">
        <v>7058811</v>
      </c>
      <c r="C323" s="29" t="str">
        <f ca="1">IFERROR(__xludf.DUMMYFUNCTION("GOOGLETRANSLATE(C634,""en"",""hr"")"),"Senzorski kotačić")</f>
        <v>Senzorski kotačić</v>
      </c>
      <c r="D323" s="28" t="s">
        <v>11</v>
      </c>
      <c r="E323" s="29">
        <v>1</v>
      </c>
      <c r="F323" s="17"/>
    </row>
    <row r="324" spans="1:6" ht="25.5" customHeight="1" x14ac:dyDescent="0.2">
      <c r="A324" s="27">
        <v>322</v>
      </c>
      <c r="B324" s="29">
        <v>7058827</v>
      </c>
      <c r="C324" s="29" t="str">
        <f ca="1">IFERROR(__xludf.DUMMYFUNCTION("GOOGLETRANSLATE(C914,""en"",""hr"")"),"Kormilarnica")</f>
        <v>Kormilarnica</v>
      </c>
      <c r="D324" s="28" t="s">
        <v>11</v>
      </c>
      <c r="E324" s="29">
        <v>1</v>
      </c>
      <c r="F324" s="17"/>
    </row>
    <row r="325" spans="1:6" ht="25.5" customHeight="1" x14ac:dyDescent="0.2">
      <c r="A325" s="27">
        <v>323</v>
      </c>
      <c r="B325" s="29">
        <v>7058834</v>
      </c>
      <c r="C325" s="29" t="str">
        <f ca="1">IFERROR(__xludf.DUMMYFUNCTION("GOOGLETRANSLATE(C5930,""en"",""hr"")"),"Držač")</f>
        <v>Držač</v>
      </c>
      <c r="D325" s="28" t="s">
        <v>11</v>
      </c>
      <c r="E325" s="29">
        <v>1</v>
      </c>
      <c r="F325" s="17"/>
    </row>
    <row r="326" spans="1:6" ht="25.5" customHeight="1" x14ac:dyDescent="0.2">
      <c r="A326" s="27">
        <v>324</v>
      </c>
      <c r="B326" s="29">
        <v>7058852</v>
      </c>
      <c r="C326" s="29" t="str">
        <f ca="1">IFERROR(__xludf.DUMMYFUNCTION("GOOGLETRANSLATE(C12,""en"",""hr"")"),"Radno svjetlo")</f>
        <v>Radno svjetlo</v>
      </c>
      <c r="D326" s="28" t="s">
        <v>11</v>
      </c>
      <c r="E326" s="29">
        <v>1</v>
      </c>
      <c r="F326" s="17"/>
    </row>
    <row r="327" spans="1:6" ht="25.5" customHeight="1" x14ac:dyDescent="0.2">
      <c r="A327" s="27">
        <v>325</v>
      </c>
      <c r="B327" s="29">
        <v>7058866</v>
      </c>
      <c r="C327" s="29" t="str">
        <f ca="1">IFERROR(__xludf.DUMMYFUNCTION("GOOGLETRANSLATE(C619,""en"",""hr"")"),"Glavčina kotača")</f>
        <v>Glavčina kotača</v>
      </c>
      <c r="D327" s="28" t="s">
        <v>11</v>
      </c>
      <c r="E327" s="29">
        <v>1</v>
      </c>
      <c r="F327" s="17"/>
    </row>
    <row r="328" spans="1:6" ht="25.5" customHeight="1" x14ac:dyDescent="0.2">
      <c r="A328" s="27">
        <v>326</v>
      </c>
      <c r="B328" s="29">
        <v>7058895</v>
      </c>
      <c r="C328" s="29" t="str">
        <f ca="1">IFERROR(__xludf.DUMMYFUNCTION("GOOGLETRANSLATE(C5208,""en"",""hr"")"),"Povratni ventil")</f>
        <v>Povratni ventil</v>
      </c>
      <c r="D328" s="28" t="s">
        <v>11</v>
      </c>
      <c r="E328" s="29">
        <v>1</v>
      </c>
      <c r="F328" s="17"/>
    </row>
    <row r="329" spans="1:6" ht="25.5" customHeight="1" x14ac:dyDescent="0.2">
      <c r="A329" s="27">
        <v>327</v>
      </c>
      <c r="B329" s="29">
        <v>7058896</v>
      </c>
      <c r="C329" s="29" t="str">
        <f ca="1">IFERROR(__xludf.DUMMYFUNCTION("GOOGLETRANSLATE(C5210,""en"",""hr"")"),"Dio vodiča")</f>
        <v>Dio vodiča</v>
      </c>
      <c r="D329" s="28" t="s">
        <v>11</v>
      </c>
      <c r="E329" s="29">
        <v>1</v>
      </c>
      <c r="F329" s="17"/>
    </row>
    <row r="330" spans="1:6" ht="25.5" customHeight="1" x14ac:dyDescent="0.2">
      <c r="A330" s="27">
        <v>328</v>
      </c>
      <c r="B330" s="29">
        <v>7058897</v>
      </c>
      <c r="C330" s="29" t="str">
        <f ca="1">IFERROR(__xludf.DUMMYFUNCTION("GOOGLETRANSLATE(C5209,""en"",""hr"")"),"Fairlead")</f>
        <v>Fairlead</v>
      </c>
      <c r="D330" s="28" t="s">
        <v>11</v>
      </c>
      <c r="E330" s="29">
        <v>1</v>
      </c>
      <c r="F330" s="17"/>
    </row>
    <row r="331" spans="1:6" ht="25.5" customHeight="1" x14ac:dyDescent="0.2">
      <c r="A331" s="27">
        <v>329</v>
      </c>
      <c r="B331" s="29">
        <v>7058918</v>
      </c>
      <c r="C331" s="29" t="str">
        <f ca="1">IFERROR(__xludf.DUMMYFUNCTION("GOOGLETRANSLATE(C3606,""en"",""hr"")"),"Poluga zavarena")</f>
        <v>Poluga zavarena</v>
      </c>
      <c r="D331" s="28" t="s">
        <v>11</v>
      </c>
      <c r="E331" s="29">
        <v>1</v>
      </c>
      <c r="F331" s="17"/>
    </row>
    <row r="332" spans="1:6" ht="25.5" customHeight="1" x14ac:dyDescent="0.2">
      <c r="A332" s="27">
        <v>330</v>
      </c>
      <c r="B332" s="29">
        <v>7058973</v>
      </c>
      <c r="C332" s="29" t="str">
        <f ca="1">IFERROR(__xludf.DUMMYFUNCTION("GOOGLETRANSLATE(C836,""en"",""hr"")"),"Spojka")</f>
        <v>Spojka</v>
      </c>
      <c r="D332" s="28" t="s">
        <v>11</v>
      </c>
      <c r="E332" s="29">
        <v>1</v>
      </c>
      <c r="F332" s="17"/>
    </row>
    <row r="333" spans="1:6" ht="25.5" customHeight="1" x14ac:dyDescent="0.2">
      <c r="A333" s="27">
        <v>331</v>
      </c>
      <c r="B333" s="29">
        <v>7058974</v>
      </c>
      <c r="C333" s="29" t="str">
        <f ca="1">IFERROR(__xludf.DUMMYFUNCTION("GOOGLETRANSLATE(C841,""en"",""hr"")"),"Spojka")</f>
        <v>Spojka</v>
      </c>
      <c r="D333" s="28" t="s">
        <v>11</v>
      </c>
      <c r="E333" s="29">
        <v>1</v>
      </c>
      <c r="F333" s="17"/>
    </row>
    <row r="334" spans="1:6" ht="25.5" customHeight="1" x14ac:dyDescent="0.2">
      <c r="A334" s="27">
        <v>332</v>
      </c>
      <c r="B334" s="29">
        <v>7058977</v>
      </c>
      <c r="C334" s="29" t="str">
        <f ca="1">IFERROR(__xludf.DUMMYFUNCTION("GOOGLETRANSLATE(C4599,""en"",""hr"")"),"Kuglasti ventil")</f>
        <v>Kuglasti ventil</v>
      </c>
      <c r="D334" s="28" t="s">
        <v>11</v>
      </c>
      <c r="E334" s="29">
        <v>1</v>
      </c>
      <c r="F334" s="17"/>
    </row>
    <row r="335" spans="1:6" ht="25.5" customHeight="1" x14ac:dyDescent="0.2">
      <c r="A335" s="27">
        <v>333</v>
      </c>
      <c r="B335" s="29">
        <v>7058984</v>
      </c>
      <c r="C335" s="29" t="str">
        <f ca="1">IFERROR(__xludf.DUMMYFUNCTION("GOOGLETRANSLATE(C49,""en"",""hr"")"),"Usisno crijevo")</f>
        <v>Usisno crijevo</v>
      </c>
      <c r="D335" s="28" t="s">
        <v>11</v>
      </c>
      <c r="E335" s="29">
        <v>1</v>
      </c>
      <c r="F335" s="17"/>
    </row>
    <row r="336" spans="1:6" ht="25.5" customHeight="1" x14ac:dyDescent="0.2">
      <c r="A336" s="27">
        <v>334</v>
      </c>
      <c r="B336" s="29">
        <v>7059025</v>
      </c>
      <c r="C336" s="29" t="str">
        <f ca="1">IFERROR(__xludf.DUMMYFUNCTION("GOOGLETRANSLATE(C1454,""en"",""hr"")"),"Upravljačka ruka")</f>
        <v>Upravljačka ruka</v>
      </c>
      <c r="D336" s="28" t="s">
        <v>11</v>
      </c>
      <c r="E336" s="29">
        <v>1</v>
      </c>
      <c r="F336" s="17"/>
    </row>
    <row r="337" spans="1:9" ht="25.5" customHeight="1" x14ac:dyDescent="0.2">
      <c r="A337" s="27">
        <v>335</v>
      </c>
      <c r="B337" s="29">
        <v>7059037</v>
      </c>
      <c r="C337" s="29" t="str">
        <f ca="1">IFERROR(__xludf.DUMMYFUNCTION("GOOGLETRANSLATE(C1455,""en"",""hr"")"),"Držač Hladnjak Čep")</f>
        <v>Držač Hladnjak Čep</v>
      </c>
      <c r="D337" s="28" t="s">
        <v>11</v>
      </c>
      <c r="E337" s="29">
        <v>1</v>
      </c>
      <c r="F337" s="17"/>
      <c r="I337" s="4" t="b">
        <f>INT(F335*100)=(F335*100)</f>
        <v>1</v>
      </c>
    </row>
    <row r="338" spans="1:9" ht="25.5" customHeight="1" x14ac:dyDescent="0.2">
      <c r="A338" s="27">
        <v>336</v>
      </c>
      <c r="B338" s="29">
        <v>7059041</v>
      </c>
      <c r="C338" s="29" t="str">
        <f ca="1">IFERROR(__xludf.DUMMYFUNCTION("GOOGLETRANSLATE(C1453,""en"",""hr"")"),"Držač hladnjaka")</f>
        <v>Držač hladnjaka</v>
      </c>
      <c r="D338" s="28" t="s">
        <v>11</v>
      </c>
      <c r="E338" s="29">
        <v>1</v>
      </c>
      <c r="F338" s="17"/>
    </row>
    <row r="339" spans="1:9" ht="25.5" customHeight="1" x14ac:dyDescent="0.2">
      <c r="A339" s="27">
        <v>337</v>
      </c>
      <c r="B339" s="29">
        <v>7059042</v>
      </c>
      <c r="C339" s="29" t="str">
        <f ca="1">IFERROR(__xludf.DUMMYFUNCTION("GOOGLETRANSLATE(C3069,""en"",""hr"")"),"Gumena usisna traka")</f>
        <v>Gumena usisna traka</v>
      </c>
      <c r="D339" s="28" t="s">
        <v>11</v>
      </c>
      <c r="E339" s="29">
        <v>1</v>
      </c>
      <c r="F339" s="17"/>
    </row>
    <row r="340" spans="1:9" ht="25.5" customHeight="1" x14ac:dyDescent="0.2">
      <c r="A340" s="27">
        <v>338</v>
      </c>
      <c r="B340" s="29">
        <v>7059059</v>
      </c>
      <c r="C340" s="29" t="str">
        <f ca="1">IFERROR(__xludf.DUMMYFUNCTION("GOOGLETRANSLATE(C725,""en"",""hr"")"),"Perilica za CB60")</f>
        <v>Perilica za CB60</v>
      </c>
      <c r="D340" s="28" t="s">
        <v>11</v>
      </c>
      <c r="E340" s="29">
        <v>1</v>
      </c>
      <c r="F340" s="17"/>
      <c r="I340" s="4" t="b">
        <f>INT(F338*100)=(F338*100)</f>
        <v>1</v>
      </c>
    </row>
    <row r="341" spans="1:9" ht="25.5" customHeight="1" x14ac:dyDescent="0.2">
      <c r="A341" s="27">
        <v>339</v>
      </c>
      <c r="B341" s="29">
        <v>7059113</v>
      </c>
      <c r="C341" s="29" t="str">
        <f ca="1">IFERROR(__xludf.DUMMYFUNCTION("GOOGLETRANSLATE(C3277,""en"",""hr"")"),"Kvačica cilindra")</f>
        <v>Kvačica cilindra</v>
      </c>
      <c r="D341" s="28" t="s">
        <v>11</v>
      </c>
      <c r="E341" s="29">
        <v>1</v>
      </c>
      <c r="F341" s="17"/>
    </row>
    <row r="342" spans="1:9" ht="25.5" customHeight="1" x14ac:dyDescent="0.2">
      <c r="A342" s="27">
        <v>340</v>
      </c>
      <c r="B342" s="29">
        <v>7059115</v>
      </c>
      <c r="C342" s="29" t="str">
        <f ca="1">IFERROR(__xludf.DUMMYFUNCTION("GOOGLETRANSLATE(C727,""en"",""hr"")"),"Držač zupčanika lijevi kap.")</f>
        <v>Držač zupčanika lijevi kap.</v>
      </c>
      <c r="D342" s="28" t="s">
        <v>11</v>
      </c>
      <c r="E342" s="29">
        <v>1</v>
      </c>
      <c r="F342" s="17"/>
    </row>
    <row r="343" spans="1:9" ht="25.5" customHeight="1" x14ac:dyDescent="0.2">
      <c r="A343" s="27">
        <v>341</v>
      </c>
      <c r="B343" s="29">
        <v>7059117</v>
      </c>
      <c r="C343" s="29" t="str">
        <f ca="1">IFERROR(__xludf.DUMMYFUNCTION("GOOGLETRANSLATE(C729,""en"",""hr"")"),"Držač zupčanika desno Kpl.")</f>
        <v>Držač zupčanika desno Kpl.</v>
      </c>
      <c r="D343" s="28" t="s">
        <v>11</v>
      </c>
      <c r="E343" s="29">
        <v>1</v>
      </c>
      <c r="F343" s="17"/>
    </row>
    <row r="344" spans="1:9" ht="25.5" customHeight="1" x14ac:dyDescent="0.2">
      <c r="A344" s="27">
        <v>342</v>
      </c>
      <c r="B344" s="29">
        <v>7059126</v>
      </c>
      <c r="C344" s="29" t="str">
        <f ca="1">IFERROR(__xludf.DUMMYFUNCTION("GOOGLETRANSLATE(C1169,""en"",""hr"")"),"Razmaknica")</f>
        <v>Razmaknica</v>
      </c>
      <c r="D344" s="28" t="s">
        <v>11</v>
      </c>
      <c r="E344" s="29">
        <v>1</v>
      </c>
      <c r="F344" s="17"/>
      <c r="I344" s="4" t="b">
        <f>INT(F342*100)=(F342*100)</f>
        <v>1</v>
      </c>
    </row>
    <row r="345" spans="1:9" ht="25.5" customHeight="1" x14ac:dyDescent="0.2">
      <c r="A345" s="27">
        <v>343</v>
      </c>
      <c r="B345" s="29">
        <v>7059160</v>
      </c>
      <c r="C345" s="29" t="str">
        <f ca="1">IFERROR(__xludf.DUMMYFUNCTION("GOOGLETRANSLATE(C1180,""en"",""hr"")"),"Prirubnica")</f>
        <v>Prirubnica</v>
      </c>
      <c r="D345" s="28" t="s">
        <v>11</v>
      </c>
      <c r="E345" s="29">
        <v>1</v>
      </c>
      <c r="F345" s="17"/>
    </row>
    <row r="346" spans="1:9" ht="25.5" customHeight="1" x14ac:dyDescent="0.2">
      <c r="A346" s="27">
        <v>344</v>
      </c>
      <c r="B346" s="29">
        <v>7059205</v>
      </c>
      <c r="C346" s="29" t="str">
        <f ca="1">IFERROR(__xludf.DUMMYFUNCTION("GOOGLETRANSLATE(C4711,""en"",""hr"")"),"šarka")</f>
        <v>šarka</v>
      </c>
      <c r="D346" s="28" t="s">
        <v>11</v>
      </c>
      <c r="E346" s="29">
        <v>1</v>
      </c>
      <c r="F346" s="17"/>
    </row>
    <row r="347" spans="1:9" ht="25.5" customHeight="1" x14ac:dyDescent="0.2">
      <c r="A347" s="27">
        <v>345</v>
      </c>
      <c r="B347" s="29">
        <v>7059273</v>
      </c>
      <c r="C347" s="29" t="str">
        <f ca="1">IFERROR(__xludf.DUMMYFUNCTION("GOOGLETRANSLATE(C3483,""en"",""hr"")"),"Gumeni nosač 2 mm")</f>
        <v>Gumeni nosač 2 mm</v>
      </c>
      <c r="D347" s="28" t="s">
        <v>11</v>
      </c>
      <c r="E347" s="29">
        <v>1</v>
      </c>
      <c r="F347" s="17"/>
    </row>
    <row r="348" spans="1:9" ht="25.5" customHeight="1" x14ac:dyDescent="0.2">
      <c r="A348" s="27">
        <v>346</v>
      </c>
      <c r="B348" s="29">
        <v>7059278</v>
      </c>
      <c r="C348" s="29" t="str">
        <f ca="1">IFERROR(__xludf.DUMMYFUNCTION("GOOGLETRANSLATE(C3482,""en"",""hr"")"),"Potpora prednjeg spremnika Cpl.")</f>
        <v>Potpora prednjeg spremnika Cpl.</v>
      </c>
      <c r="D348" s="28" t="s">
        <v>11</v>
      </c>
      <c r="E348" s="29">
        <v>1</v>
      </c>
      <c r="F348" s="17"/>
    </row>
    <row r="349" spans="1:9" ht="25.5" customHeight="1" x14ac:dyDescent="0.2">
      <c r="A349" s="27">
        <v>347</v>
      </c>
      <c r="B349" s="29">
        <v>7059292</v>
      </c>
      <c r="C349" s="29" t="str">
        <f ca="1">IFERROR(__xludf.DUMMYFUNCTION("GOOGLETRANSLATE(C5826,""en"",""hr"")"),"Disk udaljenosti")</f>
        <v>Disk udaljenosti</v>
      </c>
      <c r="D349" s="28" t="s">
        <v>11</v>
      </c>
      <c r="E349" s="29">
        <v>1</v>
      </c>
      <c r="F349" s="17"/>
    </row>
    <row r="350" spans="1:9" ht="25.5" customHeight="1" x14ac:dyDescent="0.2">
      <c r="A350" s="27">
        <v>348</v>
      </c>
      <c r="B350" s="29">
        <v>7059294</v>
      </c>
      <c r="C350" s="29" t="str">
        <f ca="1">IFERROR(__xludf.DUMMYFUNCTION("GOOGLETRANSLATE(C5760,""en"",""hr"")"),"Disk udaljenosti")</f>
        <v>Disk udaljenosti</v>
      </c>
      <c r="D350" s="28" t="s">
        <v>11</v>
      </c>
      <c r="E350" s="29">
        <v>1</v>
      </c>
      <c r="F350" s="17"/>
    </row>
    <row r="351" spans="1:9" ht="25.5" customHeight="1" x14ac:dyDescent="0.2">
      <c r="A351" s="27">
        <v>349</v>
      </c>
      <c r="B351" s="29">
        <v>7059306</v>
      </c>
      <c r="C351" s="29" t="str">
        <f ca="1">IFERROR(__xludf.DUMMYFUNCTION("GOOGLETRANSLATE(C3460,""en"",""hr"")"),"Supporto regulator vode Cpl.")</f>
        <v>Supporto regulator vode Cpl.</v>
      </c>
      <c r="D351" s="28" t="s">
        <v>11</v>
      </c>
      <c r="E351" s="29">
        <v>1</v>
      </c>
      <c r="F351" s="17"/>
    </row>
    <row r="352" spans="1:9" ht="25.5" customHeight="1" x14ac:dyDescent="0.2">
      <c r="A352" s="27">
        <v>350</v>
      </c>
      <c r="B352" s="29">
        <v>7059338</v>
      </c>
      <c r="C352" s="29" t="str">
        <f ca="1">IFERROR(__xludf.DUMMYFUNCTION("GOOGLETRANSLATE(C381,""en"",""hr"")"),"Gume 255/65 R16, Goodrich")</f>
        <v>Gume 255/65 R16, Goodrich</v>
      </c>
      <c r="D352" s="28" t="s">
        <v>11</v>
      </c>
      <c r="E352" s="29">
        <v>1</v>
      </c>
      <c r="F352" s="17"/>
    </row>
    <row r="353" spans="1:9" ht="25.5" customHeight="1" x14ac:dyDescent="0.2">
      <c r="A353" s="27">
        <v>351</v>
      </c>
      <c r="B353" s="29">
        <v>7059345</v>
      </c>
      <c r="C353" s="29" t="str">
        <f ca="1">IFERROR(__xludf.DUMMYFUNCTION("GOOGLETRANSLATE(C372,""en"",""hr"")"),"Straža")</f>
        <v>Straža</v>
      </c>
      <c r="D353" s="28" t="s">
        <v>11</v>
      </c>
      <c r="E353" s="29">
        <v>1</v>
      </c>
      <c r="F353" s="17"/>
    </row>
    <row r="354" spans="1:9" ht="25.5" customHeight="1" x14ac:dyDescent="0.2">
      <c r="A354" s="27">
        <v>352</v>
      </c>
      <c r="B354" s="29">
        <v>7059347</v>
      </c>
      <c r="C354" s="29" t="str">
        <f ca="1">IFERROR(__xludf.DUMMYFUNCTION("GOOGLETRANSLATE(C371,""en"",""hr"")"),"Straža")</f>
        <v>Straža</v>
      </c>
      <c r="D354" s="28" t="s">
        <v>11</v>
      </c>
      <c r="E354" s="29">
        <v>1</v>
      </c>
      <c r="F354" s="17"/>
    </row>
    <row r="355" spans="1:9" ht="25.5" customHeight="1" x14ac:dyDescent="0.2">
      <c r="A355" s="27">
        <v>353</v>
      </c>
      <c r="B355" s="29">
        <v>7059363</v>
      </c>
      <c r="C355" s="29" t="str">
        <f ca="1">IFERROR(__xludf.DUMMYFUNCTION("GOOGLETRANSLATE(C107,""en"",""hr"")"),"Hidraulički filter cpl.")</f>
        <v>Hidraulički filter cpl.</v>
      </c>
      <c r="D355" s="28" t="s">
        <v>11</v>
      </c>
      <c r="E355" s="29">
        <v>1</v>
      </c>
      <c r="F355" s="17"/>
    </row>
    <row r="356" spans="1:9" ht="25.5" customHeight="1" x14ac:dyDescent="0.2">
      <c r="A356" s="27">
        <v>354</v>
      </c>
      <c r="B356" s="29">
        <v>7059388</v>
      </c>
      <c r="C356" s="29" t="str">
        <f ca="1">IFERROR(__xludf.DUMMYFUNCTION("GOOGLETRANSLATE(C26,""en"",""hr"")"),"Hidraulički komplet filtera EV")</f>
        <v>Hidraulički komplet filtera EV</v>
      </c>
      <c r="D356" s="28" t="s">
        <v>11</v>
      </c>
      <c r="E356" s="29">
        <v>1</v>
      </c>
      <c r="F356" s="17"/>
    </row>
    <row r="357" spans="1:9" ht="25.5" customHeight="1" x14ac:dyDescent="0.2">
      <c r="A357" s="27">
        <v>355</v>
      </c>
      <c r="B357" s="29">
        <v>7059393</v>
      </c>
      <c r="C357" s="29" t="str">
        <f ca="1">IFERROR(__xludf.DUMMYFUNCTION("GOOGLETRANSLATE(C3521,""en"",""hr"")"),"Gumeni nosač 2 mm")</f>
        <v>Gumeni nosač 2 mm</v>
      </c>
      <c r="D357" s="28" t="s">
        <v>11</v>
      </c>
      <c r="E357" s="29">
        <v>1</v>
      </c>
      <c r="F357" s="17"/>
    </row>
    <row r="358" spans="1:9" ht="25.5" customHeight="1" x14ac:dyDescent="0.2">
      <c r="A358" s="27">
        <v>356</v>
      </c>
      <c r="B358" s="29">
        <v>7059399</v>
      </c>
      <c r="C358" s="29" t="str">
        <f ca="1">IFERROR(__xludf.DUMMYFUNCTION("GOOGLETRANSLATE(C3519,""en"",""hr"")"),"Gumeni nosač 2 mm")</f>
        <v>Gumeni nosač 2 mm</v>
      </c>
      <c r="D358" s="28" t="s">
        <v>11</v>
      </c>
      <c r="E358" s="29">
        <v>1</v>
      </c>
      <c r="F358" s="17"/>
    </row>
    <row r="359" spans="1:9" ht="25.5" customHeight="1" x14ac:dyDescent="0.2">
      <c r="A359" s="27">
        <v>357</v>
      </c>
      <c r="B359" s="29">
        <v>7059401</v>
      </c>
      <c r="C359" s="29" t="str">
        <f ca="1">IFERROR(__xludf.DUMMYFUNCTION("GOOGLETRANSLATE(C3578,""en"",""hr"")"),"Gumeni nosač")</f>
        <v>Gumeni nosač</v>
      </c>
      <c r="D359" s="28" t="s">
        <v>11</v>
      </c>
      <c r="E359" s="29">
        <v>1</v>
      </c>
      <c r="F359" s="17"/>
    </row>
    <row r="360" spans="1:9" ht="25.5" customHeight="1" x14ac:dyDescent="0.2">
      <c r="A360" s="27">
        <v>358</v>
      </c>
      <c r="B360" s="29">
        <v>7059402</v>
      </c>
      <c r="C360" s="29" t="str">
        <f ca="1">IFERROR(__xludf.DUMMYFUNCTION("GOOGLETRANSLATE(C3509,""en"",""hr"")"),"Korice zalijepljene")</f>
        <v>Korice zalijepljene</v>
      </c>
      <c r="D360" s="28" t="s">
        <v>11</v>
      </c>
      <c r="E360" s="29">
        <v>1</v>
      </c>
      <c r="F360" s="17"/>
    </row>
    <row r="361" spans="1:9" ht="25.5" customHeight="1" x14ac:dyDescent="0.2">
      <c r="A361" s="27">
        <v>359</v>
      </c>
      <c r="B361" s="29">
        <v>7059403</v>
      </c>
      <c r="C361" s="29" t="str">
        <f ca="1">IFERROR(__xludf.DUMMYFUNCTION("GOOGLETRANSLATE(C1089,""en"",""hr"")"),"razmaknica")</f>
        <v>razmaknica</v>
      </c>
      <c r="D361" s="28" t="s">
        <v>11</v>
      </c>
      <c r="E361" s="29">
        <v>1</v>
      </c>
      <c r="F361" s="17"/>
    </row>
    <row r="362" spans="1:9" ht="25.5" customHeight="1" x14ac:dyDescent="0.2">
      <c r="A362" s="27">
        <v>360</v>
      </c>
      <c r="B362" s="29">
        <v>7059409</v>
      </c>
      <c r="C362" s="29" t="str">
        <f ca="1">IFERROR(__xludf.DUMMYFUNCTION("GOOGLETRANSLATE(C3520,""en"",""hr"")"),"Gumeni nosač 2 mm")</f>
        <v>Gumeni nosač 2 mm</v>
      </c>
      <c r="D362" s="28" t="s">
        <v>11</v>
      </c>
      <c r="E362" s="29">
        <v>1</v>
      </c>
      <c r="F362" s="17"/>
      <c r="I362" s="4" t="b">
        <f>INT(F360*100)=(F360*100)</f>
        <v>1</v>
      </c>
    </row>
    <row r="363" spans="1:9" ht="25.5" customHeight="1" x14ac:dyDescent="0.2">
      <c r="A363" s="27">
        <v>361</v>
      </c>
      <c r="B363" s="29">
        <v>7059466</v>
      </c>
      <c r="C363" s="29" t="str">
        <f ca="1">IFERROR(__xludf.DUMMYFUNCTION("GOOGLETRANSLATE(C3525,""en"",""hr"")"),"Gumeni nosač 2 mm")</f>
        <v>Gumeni nosač 2 mm</v>
      </c>
      <c r="D363" s="28" t="s">
        <v>11</v>
      </c>
      <c r="E363" s="29">
        <v>1</v>
      </c>
      <c r="F363" s="17"/>
    </row>
    <row r="364" spans="1:9" ht="25.5" customHeight="1" x14ac:dyDescent="0.2">
      <c r="A364" s="27">
        <v>362</v>
      </c>
      <c r="B364" s="29">
        <v>7059467</v>
      </c>
      <c r="C364" s="29" t="str">
        <f ca="1">IFERROR(__xludf.DUMMYFUNCTION("GOOGLETRANSLATE(C3526,""en"",""hr"")"),"Gumeni nosač 2 mm")</f>
        <v>Gumeni nosač 2 mm</v>
      </c>
      <c r="D364" s="28" t="s">
        <v>11</v>
      </c>
      <c r="E364" s="29">
        <v>1</v>
      </c>
      <c r="F364" s="17"/>
    </row>
    <row r="365" spans="1:9" ht="25.5" customHeight="1" x14ac:dyDescent="0.2">
      <c r="A365" s="27">
        <v>363</v>
      </c>
      <c r="B365" s="29">
        <v>7059614</v>
      </c>
      <c r="C365" s="29" t="str">
        <f ca="1">IFERROR(__xludf.DUMMYFUNCTION("GOOGLETRANSLATE(C5308,""en"",""hr"")"),"Kabelski zaslon 10""")</f>
        <v>Kabelski zaslon 10"</v>
      </c>
      <c r="D365" s="28" t="s">
        <v>11</v>
      </c>
      <c r="E365" s="29">
        <v>1</v>
      </c>
      <c r="F365" s="17"/>
      <c r="I365" s="4" t="b">
        <f>INT(F363*100)=(F363*100)</f>
        <v>1</v>
      </c>
    </row>
    <row r="366" spans="1:9" ht="25.5" customHeight="1" x14ac:dyDescent="0.2">
      <c r="A366" s="27">
        <v>364</v>
      </c>
      <c r="B366" s="29">
        <v>7059626</v>
      </c>
      <c r="C366" s="29" t="str">
        <f ca="1">IFERROR(__xludf.DUMMYFUNCTION("GOOGLETRANSLATE(C3537,""en"",""hr"")"),"Termoizolacijski rekuperacijski spremnik")</f>
        <v>Termoizolacijski rekuperacijski spremnik</v>
      </c>
      <c r="D366" s="28" t="s">
        <v>11</v>
      </c>
      <c r="E366" s="29">
        <v>1</v>
      </c>
      <c r="F366" s="17"/>
    </row>
    <row r="367" spans="1:9" ht="25.5" customHeight="1" x14ac:dyDescent="0.2">
      <c r="A367" s="27">
        <v>365</v>
      </c>
      <c r="B367" s="29">
        <v>7059627</v>
      </c>
      <c r="C367" s="29" t="str">
        <f ca="1">IFERROR(__xludf.DUMMYFUNCTION("GOOGLETRANSLATE(C5745,""en"",""hr"")"),"Termoizolacijski hidraulički spremnik")</f>
        <v>Termoizolacijski hidraulički spremnik</v>
      </c>
      <c r="D367" s="28" t="s">
        <v>11</v>
      </c>
      <c r="E367" s="29">
        <v>1</v>
      </c>
      <c r="F367" s="17"/>
    </row>
    <row r="368" spans="1:9" ht="25.5" customHeight="1" x14ac:dyDescent="0.2">
      <c r="A368" s="27">
        <v>366</v>
      </c>
      <c r="B368" s="29">
        <v>7059738</v>
      </c>
      <c r="C368" s="29" t="str">
        <f ca="1">IFERROR(__xludf.DUMMYFUNCTION("GOOGLETRANSLATE(C4964,""en"",""hr"")"),"Neto")</f>
        <v>Neto</v>
      </c>
      <c r="D368" s="28" t="s">
        <v>11</v>
      </c>
      <c r="E368" s="29">
        <v>1</v>
      </c>
      <c r="F368" s="17"/>
    </row>
    <row r="369" spans="1:9" ht="25.5" customHeight="1" x14ac:dyDescent="0.2">
      <c r="A369" s="27">
        <v>367</v>
      </c>
      <c r="B369" s="29">
        <v>7059839</v>
      </c>
      <c r="C369" s="29" t="str">
        <f ca="1">IFERROR(__xludf.DUMMYFUNCTION("GOOGLETRANSLATE(C5880,""en"",""hr"")"),"Perilica")</f>
        <v>Perilica</v>
      </c>
      <c r="D369" s="28" t="s">
        <v>11</v>
      </c>
      <c r="E369" s="29">
        <v>1</v>
      </c>
      <c r="F369" s="17"/>
      <c r="I369" s="4" t="b">
        <f>INT(F367*100)=(F367*100)</f>
        <v>1</v>
      </c>
    </row>
    <row r="370" spans="1:9" ht="25.5" customHeight="1" x14ac:dyDescent="0.2">
      <c r="A370" s="27">
        <v>368</v>
      </c>
      <c r="B370" s="29">
        <v>7059872</v>
      </c>
      <c r="C370" s="29" t="str">
        <f ca="1">IFERROR(__xludf.DUMMYFUNCTION("GOOGLETRANSLATE(C1895,""en"",""hr"")"),"Ruka cilindra")</f>
        <v>Ruka cilindra</v>
      </c>
      <c r="D370" s="28" t="s">
        <v>11</v>
      </c>
      <c r="E370" s="29">
        <v>1</v>
      </c>
      <c r="F370" s="17"/>
    </row>
    <row r="371" spans="1:9" ht="25.5" customHeight="1" x14ac:dyDescent="0.2">
      <c r="A371" s="27">
        <v>369</v>
      </c>
      <c r="B371" s="29">
        <v>7059875</v>
      </c>
      <c r="C371" s="29" t="str">
        <f ca="1">IFERROR(__xludf.DUMMYFUNCTION("GOOGLETRANSLATE(C1883,""en"",""hr"")"),"Stezna traka")</f>
        <v>Stezna traka</v>
      </c>
      <c r="D371" s="28" t="s">
        <v>11</v>
      </c>
      <c r="E371" s="29">
        <v>1</v>
      </c>
      <c r="F371" s="17"/>
    </row>
    <row r="372" spans="1:9" ht="25.5" customHeight="1" x14ac:dyDescent="0.2">
      <c r="A372" s="27">
        <v>370</v>
      </c>
      <c r="B372" s="29">
        <v>7059877</v>
      </c>
      <c r="C372" s="29" t="str">
        <f ca="1">IFERROR(__xludf.DUMMYFUNCTION("GOOGLETRANSLATE(C1890,""en"",""hr"")"),"Sklop ručice poluge")</f>
        <v>Sklop ručice poluge</v>
      </c>
      <c r="D372" s="28" t="s">
        <v>11</v>
      </c>
      <c r="E372" s="29">
        <v>1</v>
      </c>
      <c r="F372" s="17"/>
    </row>
    <row r="373" spans="1:9" ht="25.5" customHeight="1" x14ac:dyDescent="0.2">
      <c r="A373" s="27">
        <v>371</v>
      </c>
      <c r="B373" s="29">
        <v>7060025</v>
      </c>
      <c r="C373" s="29" t="str">
        <f ca="1">IFERROR(__xludf.DUMMYFUNCTION("GOOGLETRANSLATE(C3744,""en"",""hr"")"),"Držač")</f>
        <v>Držač</v>
      </c>
      <c r="D373" s="28" t="s">
        <v>11</v>
      </c>
      <c r="E373" s="29">
        <v>1</v>
      </c>
      <c r="F373" s="17"/>
    </row>
    <row r="374" spans="1:9" ht="25.5" customHeight="1" x14ac:dyDescent="0.2">
      <c r="A374" s="27">
        <v>372</v>
      </c>
      <c r="B374" s="29">
        <v>7060102</v>
      </c>
      <c r="C374" s="29" t="str">
        <f ca="1">IFERROR(__xludf.DUMMYFUNCTION("GOOGLETRANSLATE(C3849,""en"",""hr"")"),"Vodena cijev")</f>
        <v>Vodena cijev</v>
      </c>
      <c r="D374" s="28" t="s">
        <v>11</v>
      </c>
      <c r="E374" s="29">
        <v>1</v>
      </c>
      <c r="F374" s="17"/>
    </row>
    <row r="375" spans="1:9" ht="25.5" customHeight="1" x14ac:dyDescent="0.2">
      <c r="A375" s="27">
        <v>373</v>
      </c>
      <c r="B375" s="29">
        <v>7060176</v>
      </c>
      <c r="C375" s="29" t="str">
        <f ca="1">IFERROR(__xludf.DUMMYFUNCTION("GOOGLETRANSLATE(C429,""en"",""hr"")"),"Hidraulično crijevo")</f>
        <v>Hidraulično crijevo</v>
      </c>
      <c r="D375" s="28" t="s">
        <v>11</v>
      </c>
      <c r="E375" s="29">
        <v>1</v>
      </c>
      <c r="F375" s="17"/>
    </row>
    <row r="376" spans="1:9" ht="25.5" customHeight="1" x14ac:dyDescent="0.2">
      <c r="A376" s="27">
        <v>374</v>
      </c>
      <c r="B376" s="29">
        <v>7060178</v>
      </c>
      <c r="C376" s="29" t="str">
        <f ca="1">IFERROR(__xludf.DUMMYFUNCTION("GOOGLETRANSLATE(C428,""en"",""hr"")"),"Hidraulično crijevo")</f>
        <v>Hidraulično crijevo</v>
      </c>
      <c r="D376" s="28" t="s">
        <v>11</v>
      </c>
      <c r="E376" s="29">
        <v>1</v>
      </c>
      <c r="F376" s="17"/>
    </row>
    <row r="377" spans="1:9" ht="25.5" customHeight="1" x14ac:dyDescent="0.2">
      <c r="A377" s="27">
        <v>375</v>
      </c>
      <c r="B377" s="29">
        <v>7060180</v>
      </c>
      <c r="C377" s="29" t="str">
        <f ca="1">IFERROR(__xludf.DUMMYFUNCTION("GOOGLETRANSLATE(C6223,""en"",""hr"")"),"Crijevo")</f>
        <v>Crijevo</v>
      </c>
      <c r="D377" s="28" t="s">
        <v>11</v>
      </c>
      <c r="E377" s="29">
        <v>1</v>
      </c>
      <c r="F377" s="17"/>
    </row>
    <row r="378" spans="1:9" ht="25.5" customHeight="1" x14ac:dyDescent="0.2">
      <c r="A378" s="27">
        <v>376</v>
      </c>
      <c r="B378" s="29">
        <v>7060183</v>
      </c>
      <c r="C378" s="29" t="str">
        <f ca="1">IFERROR(__xludf.DUMMYFUNCTION("GOOGLETRANSLATE(C2391,""en"",""hr"")"),"Hidraulično crijevo")</f>
        <v>Hidraulično crijevo</v>
      </c>
      <c r="D378" s="28" t="s">
        <v>11</v>
      </c>
      <c r="E378" s="29">
        <v>1</v>
      </c>
      <c r="F378" s="17"/>
    </row>
    <row r="379" spans="1:9" ht="25.5" customHeight="1" x14ac:dyDescent="0.2">
      <c r="A379" s="27">
        <v>377</v>
      </c>
      <c r="B379" s="29">
        <v>7060184</v>
      </c>
      <c r="C379" s="29" t="str">
        <f ca="1">IFERROR(__xludf.DUMMYFUNCTION("GOOGLETRANSLATE(C427,""en"",""hr"")"),"Hidraulično crijevo")</f>
        <v>Hidraulično crijevo</v>
      </c>
      <c r="D379" s="28" t="s">
        <v>11</v>
      </c>
      <c r="E379" s="29">
        <v>1</v>
      </c>
      <c r="F379" s="17"/>
    </row>
    <row r="380" spans="1:9" ht="25.5" customHeight="1" x14ac:dyDescent="0.2">
      <c r="A380" s="27">
        <v>378</v>
      </c>
      <c r="B380" s="29">
        <v>7061070</v>
      </c>
      <c r="C380" s="29" t="str">
        <f ca="1">IFERROR(__xludf.DUMMYFUNCTION("GOOGLETRANSLATE(C4609,""en"",""hr"")"),"Crijevo")</f>
        <v>Crijevo</v>
      </c>
      <c r="D380" s="28" t="s">
        <v>11</v>
      </c>
      <c r="E380" s="29">
        <v>1</v>
      </c>
      <c r="F380" s="17"/>
    </row>
    <row r="381" spans="1:9" ht="25.5" customHeight="1" x14ac:dyDescent="0.2">
      <c r="A381" s="27">
        <v>379</v>
      </c>
      <c r="B381" s="29">
        <v>7061236</v>
      </c>
      <c r="C381" s="29" t="str">
        <f ca="1">IFERROR(__xludf.DUMMYFUNCTION("GOOGLETRANSLATE(C3071,""en"",""hr"")"),"Čahura")</f>
        <v>Čahura</v>
      </c>
      <c r="D381" s="28" t="s">
        <v>11</v>
      </c>
      <c r="E381" s="29">
        <v>1</v>
      </c>
      <c r="F381" s="17"/>
    </row>
    <row r="382" spans="1:9" ht="25.5" customHeight="1" x14ac:dyDescent="0.2">
      <c r="A382" s="27">
        <v>380</v>
      </c>
      <c r="B382" s="29">
        <v>7061260</v>
      </c>
      <c r="C382" s="29" t="str">
        <f ca="1">IFERROR(__xludf.DUMMYFUNCTION("GOOGLETRANSLATE(C184,""en"",""hr"")"),"Crijevo za zrak za punjenje")</f>
        <v>Crijevo za zrak za punjenje</v>
      </c>
      <c r="D382" s="28" t="s">
        <v>11</v>
      </c>
      <c r="E382" s="29">
        <v>1</v>
      </c>
      <c r="F382" s="17"/>
    </row>
    <row r="383" spans="1:9" ht="25.5" customHeight="1" x14ac:dyDescent="0.2">
      <c r="A383" s="27">
        <v>381</v>
      </c>
      <c r="B383" s="29">
        <v>7061334</v>
      </c>
      <c r="C383" s="29" t="str">
        <f ca="1">IFERROR(__xludf.DUMMYFUNCTION("GOOGLETRANSLATE(C4328,""en"",""hr"")"),"brtva")</f>
        <v>brtva</v>
      </c>
      <c r="D383" s="28" t="s">
        <v>11</v>
      </c>
      <c r="E383" s="29">
        <v>1</v>
      </c>
      <c r="F383" s="17"/>
    </row>
    <row r="384" spans="1:9" ht="25.5" customHeight="1" x14ac:dyDescent="0.2">
      <c r="A384" s="27">
        <v>382</v>
      </c>
      <c r="B384" s="29">
        <v>7061358</v>
      </c>
      <c r="C384" s="29" t="str">
        <f ca="1">IFERROR(__xludf.DUMMYFUNCTION("GOOGLETRANSLATE(C3368,""en"",""hr"")"),"Unija")</f>
        <v>Unija</v>
      </c>
      <c r="D384" s="28" t="s">
        <v>11</v>
      </c>
      <c r="E384" s="29">
        <v>1</v>
      </c>
      <c r="F384" s="17"/>
    </row>
    <row r="385" spans="1:9" ht="25.5" customHeight="1" x14ac:dyDescent="0.2">
      <c r="A385" s="27">
        <v>383</v>
      </c>
      <c r="B385" s="29">
        <v>7061369</v>
      </c>
      <c r="C385" s="29" t="str">
        <f ca="1">IFERROR(__xludf.DUMMYFUNCTION("GOOGLETRANSLATE(C3878,""en"",""hr"")"),"Crijevo")</f>
        <v>Crijevo</v>
      </c>
      <c r="D385" s="28" t="s">
        <v>11</v>
      </c>
      <c r="E385" s="29">
        <v>1</v>
      </c>
      <c r="F385" s="17"/>
    </row>
    <row r="386" spans="1:9" ht="25.5" customHeight="1" x14ac:dyDescent="0.2">
      <c r="A386" s="27">
        <v>384</v>
      </c>
      <c r="B386" s="29">
        <v>7061450</v>
      </c>
      <c r="C386" s="29" t="str">
        <f ca="1">IFERROR(__xludf.DUMMYFUNCTION("GOOGLETRANSLATE(C3844,""en"",""hr"")"),"Crijevo")</f>
        <v>Crijevo</v>
      </c>
      <c r="D386" s="28" t="s">
        <v>11</v>
      </c>
      <c r="E386" s="29">
        <v>1</v>
      </c>
      <c r="F386" s="17"/>
    </row>
    <row r="387" spans="1:9" ht="25.5" customHeight="1" x14ac:dyDescent="0.2">
      <c r="A387" s="27">
        <v>385</v>
      </c>
      <c r="B387" s="29">
        <v>7061467</v>
      </c>
      <c r="C387" s="29" t="str">
        <f ca="1">IFERROR(__xludf.DUMMYFUNCTION("GOOGLETRANSLATE(C3114,""en"",""hr"")"),"Perilica")</f>
        <v>Perilica</v>
      </c>
      <c r="D387" s="28" t="s">
        <v>11</v>
      </c>
      <c r="E387" s="29">
        <v>1</v>
      </c>
      <c r="F387" s="17"/>
    </row>
    <row r="388" spans="1:9" ht="25.5" customHeight="1" x14ac:dyDescent="0.2">
      <c r="A388" s="27">
        <v>386</v>
      </c>
      <c r="B388" s="29">
        <v>7061504</v>
      </c>
      <c r="C388" s="29" t="str">
        <f ca="1">IFERROR(__xludf.DUMMYFUNCTION("GOOGLETRANSLATE(C189,""en"",""hr"")"),"Vodocijevni hladnjak motora")</f>
        <v>Vodocijevni hladnjak motora</v>
      </c>
      <c r="D388" s="28" t="s">
        <v>11</v>
      </c>
      <c r="E388" s="29">
        <v>1</v>
      </c>
      <c r="F388" s="17"/>
      <c r="I388" s="4" t="b">
        <f>INT(F386*100)=(F386*100)</f>
        <v>1</v>
      </c>
    </row>
    <row r="389" spans="1:9" ht="25.5" customHeight="1" x14ac:dyDescent="0.2">
      <c r="A389" s="27">
        <v>387</v>
      </c>
      <c r="B389" s="29">
        <v>7061526</v>
      </c>
      <c r="C389" s="29" t="str">
        <f ca="1">IFERROR(__xludf.DUMMYFUNCTION("GOOGLETRANSLATE(C3093,""en"",""hr"")"),"Usisna usta")</f>
        <v>Usisna usta</v>
      </c>
      <c r="D389" s="28" t="s">
        <v>11</v>
      </c>
      <c r="E389" s="29">
        <v>1</v>
      </c>
      <c r="F389" s="17"/>
    </row>
    <row r="390" spans="1:9" ht="25.5" customHeight="1" x14ac:dyDescent="0.2">
      <c r="A390" s="27">
        <v>388</v>
      </c>
      <c r="B390" s="29">
        <v>7061529</v>
      </c>
      <c r="C390" s="29" t="str">
        <f ca="1">IFERROR(__xludf.DUMMYFUNCTION("GOOGLETRANSLATE(C3074,""en"",""hr"")"),"Duga perforirana ploča")</f>
        <v>Duga perforirana ploča</v>
      </c>
      <c r="D390" s="28" t="s">
        <v>11</v>
      </c>
      <c r="E390" s="29">
        <v>1</v>
      </c>
      <c r="F390" s="17"/>
    </row>
    <row r="391" spans="1:9" ht="25.5" customHeight="1" x14ac:dyDescent="0.2">
      <c r="A391" s="27">
        <v>389</v>
      </c>
      <c r="B391" s="29">
        <v>7061544</v>
      </c>
      <c r="C391" s="29" t="str">
        <f ca="1">IFERROR(__xludf.DUMMYFUNCTION("GOOGLETRANSLATE(C262,""en"",""hr"")"),"Spojka")</f>
        <v>Spojka</v>
      </c>
      <c r="D391" s="28" t="s">
        <v>11</v>
      </c>
      <c r="E391" s="29">
        <v>1</v>
      </c>
      <c r="F391" s="17"/>
      <c r="I391" s="4" t="b">
        <f>INT(F389*100)=(F389*100)</f>
        <v>1</v>
      </c>
    </row>
    <row r="392" spans="1:9" ht="25.5" customHeight="1" x14ac:dyDescent="0.2">
      <c r="A392" s="27">
        <v>390</v>
      </c>
      <c r="B392" s="29">
        <v>7061628</v>
      </c>
      <c r="C392" s="29" t="str">
        <f ca="1">IFERROR(__xludf.DUMMYFUNCTION("GOOGLETRANSLATE(C1078,""en"",""hr"")"),"Predfilter goriva")</f>
        <v>Predfilter goriva</v>
      </c>
      <c r="D392" s="28" t="s">
        <v>11</v>
      </c>
      <c r="E392" s="29">
        <v>1</v>
      </c>
      <c r="F392" s="17"/>
    </row>
    <row r="393" spans="1:9" ht="25.5" customHeight="1" x14ac:dyDescent="0.2">
      <c r="A393" s="27">
        <v>391</v>
      </c>
      <c r="B393" s="29">
        <v>7061629</v>
      </c>
      <c r="C393" s="29" t="str">
        <f ca="1">IFERROR(__xludf.DUMMYFUNCTION("GOOGLETRANSLATE(C1082,""en"",""hr"")"),"Filter goriva")</f>
        <v>Filter goriva</v>
      </c>
      <c r="D393" s="28" t="s">
        <v>11</v>
      </c>
      <c r="E393" s="29">
        <v>1</v>
      </c>
      <c r="F393" s="17"/>
    </row>
    <row r="394" spans="1:9" ht="25.5" customHeight="1" x14ac:dyDescent="0.2">
      <c r="A394" s="27">
        <v>392</v>
      </c>
      <c r="B394" s="29">
        <v>7061631</v>
      </c>
      <c r="C394" s="29" t="str">
        <f ca="1">IFERROR(__xludf.DUMMYFUNCTION("GOOGLETRANSLATE(C5739,""en"",""hr"")"),"Spremnik hidrauličkog ulja")</f>
        <v>Spremnik hidrauličkog ulja</v>
      </c>
      <c r="D394" s="28" t="s">
        <v>11</v>
      </c>
      <c r="E394" s="29">
        <v>1</v>
      </c>
      <c r="F394" s="17"/>
    </row>
    <row r="395" spans="1:9" ht="25.5" customHeight="1" x14ac:dyDescent="0.2">
      <c r="A395" s="27">
        <v>393</v>
      </c>
      <c r="B395" s="29">
        <v>7061633</v>
      </c>
      <c r="C395" s="29" t="str">
        <f ca="1">IFERROR(__xludf.DUMMYFUNCTION("GOOGLETRANSLATE(C4662,""en"",""hr"")"),"Zaštita")</f>
        <v>Zaštita</v>
      </c>
      <c r="D395" s="28" t="s">
        <v>11</v>
      </c>
      <c r="E395" s="29">
        <v>1</v>
      </c>
      <c r="F395" s="17"/>
      <c r="I395" s="4" t="b">
        <f>INT(F393*100)=(F393*100)</f>
        <v>1</v>
      </c>
    </row>
    <row r="396" spans="1:9" ht="25.5" customHeight="1" x14ac:dyDescent="0.2">
      <c r="A396" s="27">
        <v>394</v>
      </c>
      <c r="B396" s="29">
        <v>7061673</v>
      </c>
      <c r="C396" s="29" t="str">
        <f ca="1">IFERROR(__xludf.DUMMYFUNCTION("GOOGLETRANSLATE(C6069,""en"",""hr"")"),"Hidraulično crijevo")</f>
        <v>Hidraulično crijevo</v>
      </c>
      <c r="D396" s="28" t="s">
        <v>11</v>
      </c>
      <c r="E396" s="29">
        <v>1</v>
      </c>
      <c r="F396" s="17"/>
    </row>
    <row r="397" spans="1:9" ht="25.5" customHeight="1" x14ac:dyDescent="0.2">
      <c r="A397" s="27">
        <v>395</v>
      </c>
      <c r="B397" s="29">
        <v>7061674</v>
      </c>
      <c r="C397" s="29" t="str">
        <f ca="1">IFERROR(__xludf.DUMMYFUNCTION("GOOGLETRANSLATE(C6064,""en"",""hr"")"),"Hidraulično crijevo")</f>
        <v>Hidraulično crijevo</v>
      </c>
      <c r="D397" s="28" t="s">
        <v>11</v>
      </c>
      <c r="E397" s="29">
        <v>1</v>
      </c>
      <c r="F397" s="17"/>
    </row>
    <row r="398" spans="1:9" ht="25.5" customHeight="1" x14ac:dyDescent="0.2">
      <c r="A398" s="27">
        <v>396</v>
      </c>
      <c r="B398" s="29">
        <v>7061764</v>
      </c>
      <c r="C398" s="29" t="str">
        <f ca="1">IFERROR(__xludf.DUMMYFUNCTION("GOOGLETRANSLATE(C3854,""en"",""hr"")"),"Razmakni grm")</f>
        <v>Razmakni grm</v>
      </c>
      <c r="D398" s="28" t="s">
        <v>11</v>
      </c>
      <c r="E398" s="29">
        <v>1</v>
      </c>
      <c r="F398" s="17"/>
    </row>
    <row r="399" spans="1:9" ht="25.5" customHeight="1" x14ac:dyDescent="0.2">
      <c r="A399" s="27">
        <v>397</v>
      </c>
      <c r="B399" s="29">
        <v>7061781</v>
      </c>
      <c r="C399" s="29" t="str">
        <f ca="1">IFERROR(__xludf.DUMMYFUNCTION("GOOGLETRANSLATE(C6067,""en"",""hr"")"),"Hidraulično crijevo")</f>
        <v>Hidraulično crijevo</v>
      </c>
      <c r="D399" s="28" t="s">
        <v>11</v>
      </c>
      <c r="E399" s="29">
        <v>1</v>
      </c>
      <c r="F399" s="17"/>
    </row>
    <row r="400" spans="1:9" ht="25.5" customHeight="1" x14ac:dyDescent="0.2">
      <c r="A400" s="27">
        <v>398</v>
      </c>
      <c r="B400" s="29">
        <v>7061782</v>
      </c>
      <c r="C400" s="29" t="str">
        <f ca="1">IFERROR(__xludf.DUMMYFUNCTION("GOOGLETRANSLATE(C6066,""en"",""hr"")"),"Hidraulično crijevo")</f>
        <v>Hidraulično crijevo</v>
      </c>
      <c r="D400" s="28" t="s">
        <v>11</v>
      </c>
      <c r="E400" s="29">
        <v>1</v>
      </c>
      <c r="F400" s="17"/>
    </row>
    <row r="401" spans="1:9" ht="25.5" customHeight="1" x14ac:dyDescent="0.2">
      <c r="A401" s="27">
        <v>399</v>
      </c>
      <c r="B401" s="29">
        <v>7061836</v>
      </c>
      <c r="C401" s="29" t="str">
        <f ca="1">IFERROR(__xludf.DUMMYFUNCTION("GOOGLETRANSLATE(C6068,""en"",""hr"")"),"Hidraulično crijevo")</f>
        <v>Hidraulično crijevo</v>
      </c>
      <c r="D401" s="28" t="s">
        <v>11</v>
      </c>
      <c r="E401" s="29">
        <v>1</v>
      </c>
      <c r="F401" s="17"/>
    </row>
    <row r="402" spans="1:9" ht="25.5" customHeight="1" x14ac:dyDescent="0.2">
      <c r="A402" s="27">
        <v>400</v>
      </c>
      <c r="B402" s="29">
        <v>7061837</v>
      </c>
      <c r="C402" s="29" t="str">
        <f ca="1">IFERROR(__xludf.DUMMYFUNCTION("GOOGLETRANSLATE(C6063,""en"",""hr"")"),"Hidraulično crijevo")</f>
        <v>Hidraulično crijevo</v>
      </c>
      <c r="D402" s="28" t="s">
        <v>11</v>
      </c>
      <c r="E402" s="29">
        <v>1</v>
      </c>
      <c r="F402" s="17"/>
    </row>
    <row r="403" spans="1:9" ht="25.5" customHeight="1" x14ac:dyDescent="0.2">
      <c r="A403" s="27">
        <v>401</v>
      </c>
      <c r="B403" s="29">
        <v>7061838</v>
      </c>
      <c r="C403" s="29" t="str">
        <f ca="1">IFERROR(__xludf.DUMMYFUNCTION("GOOGLETRANSLATE(C6061,""en"",""hr"")"),"Hidraulično crijevo")</f>
        <v>Hidraulično crijevo</v>
      </c>
      <c r="D403" s="28" t="s">
        <v>11</v>
      </c>
      <c r="E403" s="29">
        <v>1</v>
      </c>
      <c r="F403" s="17"/>
    </row>
    <row r="404" spans="1:9" ht="25.5" customHeight="1" x14ac:dyDescent="0.2">
      <c r="A404" s="27">
        <v>402</v>
      </c>
      <c r="B404" s="29">
        <v>7061839</v>
      </c>
      <c r="C404" s="29" t="str">
        <f ca="1">IFERROR(__xludf.DUMMYFUNCTION("GOOGLETRANSLATE(C6060,""en"",""hr"")"),"Hidraulično crijevo")</f>
        <v>Hidraulično crijevo</v>
      </c>
      <c r="D404" s="28" t="s">
        <v>11</v>
      </c>
      <c r="E404" s="29">
        <v>1</v>
      </c>
      <c r="F404" s="17"/>
    </row>
    <row r="405" spans="1:9" ht="25.5" customHeight="1" x14ac:dyDescent="0.2">
      <c r="A405" s="27">
        <v>403</v>
      </c>
      <c r="B405" s="29">
        <v>7061859</v>
      </c>
      <c r="C405" s="29" t="str">
        <f ca="1">IFERROR(__xludf.DUMMYFUNCTION("GOOGLETRANSLATE(C5947,""en"",""hr"")"),"Crijevo")</f>
        <v>Crijevo</v>
      </c>
      <c r="D405" s="28" t="s">
        <v>11</v>
      </c>
      <c r="E405" s="29">
        <v>1</v>
      </c>
      <c r="F405" s="17"/>
    </row>
    <row r="406" spans="1:9" ht="25.5" customHeight="1" x14ac:dyDescent="0.2">
      <c r="A406" s="27">
        <v>404</v>
      </c>
      <c r="B406" s="29">
        <v>7061860</v>
      </c>
      <c r="C406" s="29" t="str">
        <f ca="1">IFERROR(__xludf.DUMMYFUNCTION("GOOGLETRANSLATE(C5961,""en"",""hr"")"),"Crijevo")</f>
        <v>Crijevo</v>
      </c>
      <c r="D406" s="28" t="s">
        <v>11</v>
      </c>
      <c r="E406" s="29">
        <v>1</v>
      </c>
      <c r="F406" s="17"/>
    </row>
    <row r="407" spans="1:9" ht="25.5" customHeight="1" x14ac:dyDescent="0.2">
      <c r="A407" s="27">
        <v>405</v>
      </c>
      <c r="B407" s="29">
        <v>7061878</v>
      </c>
      <c r="C407" s="29" t="str">
        <f ca="1">IFERROR(__xludf.DUMMYFUNCTION("GOOGLETRANSLATE(C5953,""en"",""hr"")"),"Crijevo")</f>
        <v>Crijevo</v>
      </c>
      <c r="D407" s="28" t="s">
        <v>11</v>
      </c>
      <c r="E407" s="29">
        <v>1</v>
      </c>
      <c r="F407" s="17"/>
    </row>
    <row r="408" spans="1:9" ht="25.5" customHeight="1" x14ac:dyDescent="0.2">
      <c r="A408" s="27">
        <v>406</v>
      </c>
      <c r="B408" s="29">
        <v>7061917</v>
      </c>
      <c r="C408" s="29" t="str">
        <f ca="1">IFERROR(__xludf.DUMMYFUNCTION("GOOGLETRANSLATE(C1103,""en"",""hr"")"),"Prigušivač IIIa")</f>
        <v>Prigušivač IIIa</v>
      </c>
      <c r="D408" s="28" t="s">
        <v>11</v>
      </c>
      <c r="E408" s="29">
        <v>1</v>
      </c>
      <c r="F408" s="17"/>
    </row>
    <row r="409" spans="1:9" ht="25.5" customHeight="1" x14ac:dyDescent="0.2">
      <c r="A409" s="27">
        <v>407</v>
      </c>
      <c r="B409" s="29">
        <v>7061940</v>
      </c>
      <c r="C409" s="29" t="str">
        <f ca="1">IFERROR(__xludf.DUMMYFUNCTION("GOOGLETRANSLATE(C6077,""en"",""hr"")"),"Cijev")</f>
        <v>Cijev</v>
      </c>
      <c r="D409" s="28" t="s">
        <v>11</v>
      </c>
      <c r="E409" s="29">
        <v>1</v>
      </c>
      <c r="F409" s="17"/>
    </row>
    <row r="410" spans="1:9" ht="25.5" customHeight="1" x14ac:dyDescent="0.2">
      <c r="A410" s="27">
        <v>408</v>
      </c>
      <c r="B410" s="29">
        <v>7061941</v>
      </c>
      <c r="C410" s="29" t="str">
        <f ca="1">IFERROR(__xludf.DUMMYFUNCTION("GOOGLETRANSLATE(C6070,""en"",""hr"")"),"Cijev")</f>
        <v>Cijev</v>
      </c>
      <c r="D410" s="28" t="s">
        <v>11</v>
      </c>
      <c r="E410" s="29">
        <v>1</v>
      </c>
      <c r="F410" s="17"/>
    </row>
    <row r="411" spans="1:9" ht="25.5" customHeight="1" x14ac:dyDescent="0.2">
      <c r="A411" s="27">
        <v>409</v>
      </c>
      <c r="B411" s="29">
        <v>7061947</v>
      </c>
      <c r="C411" s="29" t="str">
        <f ca="1">IFERROR(__xludf.DUMMYFUNCTION("GOOGLETRANSLATE(C5985,""en"",""hr"")"),"Metalni lim")</f>
        <v>Metalni lim</v>
      </c>
      <c r="D411" s="28" t="s">
        <v>11</v>
      </c>
      <c r="E411" s="29">
        <v>1</v>
      </c>
      <c r="F411" s="17"/>
    </row>
    <row r="412" spans="1:9" ht="25.5" customHeight="1" x14ac:dyDescent="0.2">
      <c r="A412" s="27">
        <v>410</v>
      </c>
      <c r="B412" s="29">
        <v>7061967</v>
      </c>
      <c r="C412" s="29" t="str">
        <f ca="1">IFERROR(__xludf.DUMMYFUNCTION("GOOGLETRANSLATE(C5966,""en"",""hr"")"),"Montažna ploča")</f>
        <v>Montažna ploča</v>
      </c>
      <c r="D412" s="28" t="s">
        <v>11</v>
      </c>
      <c r="E412" s="29">
        <v>1</v>
      </c>
      <c r="F412" s="17"/>
    </row>
    <row r="413" spans="1:9" ht="25.5" customHeight="1" x14ac:dyDescent="0.2">
      <c r="A413" s="27">
        <v>411</v>
      </c>
      <c r="B413" s="29">
        <v>7061974</v>
      </c>
      <c r="C413" s="29" t="str">
        <f ca="1">IFERROR(__xludf.DUMMYFUNCTION("GOOGLETRANSLATE(C6078,""en"",""hr"")"),"Cijev")</f>
        <v>Cijev</v>
      </c>
      <c r="D413" s="28" t="s">
        <v>11</v>
      </c>
      <c r="E413" s="29">
        <v>1</v>
      </c>
      <c r="F413" s="17"/>
      <c r="I413" s="4" t="b">
        <f>INT(F411*100)=(F411*100)</f>
        <v>1</v>
      </c>
    </row>
    <row r="414" spans="1:9" ht="25.5" customHeight="1" x14ac:dyDescent="0.2">
      <c r="A414" s="27">
        <v>412</v>
      </c>
      <c r="B414" s="29">
        <v>7061976</v>
      </c>
      <c r="C414" s="29" t="str">
        <f ca="1">IFERROR(__xludf.DUMMYFUNCTION("GOOGLETRANSLATE(C5963,""en"",""hr"")"),"Crijevo")</f>
        <v>Crijevo</v>
      </c>
      <c r="D414" s="28" t="s">
        <v>11</v>
      </c>
      <c r="E414" s="29">
        <v>1</v>
      </c>
      <c r="F414" s="17"/>
    </row>
    <row r="415" spans="1:9" ht="25.5" customHeight="1" x14ac:dyDescent="0.2">
      <c r="A415" s="27">
        <v>413</v>
      </c>
      <c r="B415" s="29">
        <v>7062006</v>
      </c>
      <c r="C415" s="29" t="str">
        <f ca="1">IFERROR(__xludf.DUMMYFUNCTION("GOOGLETRANSLATE(C5288,""en"",""hr"")"),"Čahura")</f>
        <v>Čahura</v>
      </c>
      <c r="D415" s="28" t="s">
        <v>11</v>
      </c>
      <c r="E415" s="29">
        <v>1</v>
      </c>
      <c r="F415" s="17"/>
    </row>
    <row r="416" spans="1:9" ht="25.5" customHeight="1" x14ac:dyDescent="0.2">
      <c r="A416" s="27">
        <v>414</v>
      </c>
      <c r="B416" s="29">
        <v>7062059</v>
      </c>
      <c r="C416" s="29" t="str">
        <f ca="1">IFERROR(__xludf.DUMMYFUNCTION("GOOGLETRANSLATE(C187,""en"",""hr"")"),"Vodena cijev Motor - hladnjak")</f>
        <v>Vodena cijev Motor - hladnjak</v>
      </c>
      <c r="D416" s="28" t="s">
        <v>11</v>
      </c>
      <c r="E416" s="29">
        <v>1</v>
      </c>
      <c r="F416" s="17"/>
      <c r="I416" s="4" t="b">
        <f>INT(F414*100)=(F414*100)</f>
        <v>1</v>
      </c>
    </row>
    <row r="417" spans="1:9" ht="25.5" customHeight="1" x14ac:dyDescent="0.2">
      <c r="A417" s="27">
        <v>415</v>
      </c>
      <c r="B417" s="29">
        <v>7062067</v>
      </c>
      <c r="C417" s="29" t="str">
        <f ca="1">IFERROR(__xludf.DUMMYFUNCTION("GOOGLETRANSLATE(C6008,""en"",""hr"")"),"Hidraulički blok kpl. (4x4 blokada diferencijala)")</f>
        <v>Hidraulički blok kpl. (4x4 blokada diferencijala)</v>
      </c>
      <c r="D417" s="28" t="s">
        <v>11</v>
      </c>
      <c r="E417" s="29">
        <v>1</v>
      </c>
      <c r="F417" s="17"/>
    </row>
    <row r="418" spans="1:9" ht="25.5" customHeight="1" x14ac:dyDescent="0.2">
      <c r="A418" s="27">
        <v>416</v>
      </c>
      <c r="B418" s="29">
        <v>7062079</v>
      </c>
      <c r="C418" s="29" t="str">
        <f ca="1">IFERROR(__xludf.DUMMYFUNCTION("GOOGLETRANSLATE(C1104,""en"",""hr"")"),"Držač")</f>
        <v>Držač</v>
      </c>
      <c r="D418" s="28" t="s">
        <v>11</v>
      </c>
      <c r="E418" s="29">
        <v>1</v>
      </c>
      <c r="F418" s="17"/>
    </row>
    <row r="419" spans="1:9" ht="25.5" customHeight="1" x14ac:dyDescent="0.2">
      <c r="A419" s="27">
        <v>417</v>
      </c>
      <c r="B419" s="29">
        <v>7062080</v>
      </c>
      <c r="C419" s="29" t="str">
        <f ca="1">IFERROR(__xludf.DUMMYFUNCTION("GOOGLETRANSLATE(C2244,""en"",""hr"")"),"Mlaznica za vodu")</f>
        <v>Mlaznica za vodu</v>
      </c>
      <c r="D419" s="28" t="s">
        <v>11</v>
      </c>
      <c r="E419" s="29">
        <v>1</v>
      </c>
      <c r="F419" s="17"/>
    </row>
    <row r="420" spans="1:9" ht="25.5" customHeight="1" x14ac:dyDescent="0.2">
      <c r="A420" s="27">
        <v>418</v>
      </c>
      <c r="B420" s="29">
        <v>7062085</v>
      </c>
      <c r="C420" s="29" t="str">
        <f ca="1">IFERROR(__xludf.DUMMYFUNCTION("GOOGLETRANSLATE(C556,""en"",""hr"")"),"Kočioni vod")</f>
        <v>Kočioni vod</v>
      </c>
      <c r="D420" s="28" t="s">
        <v>11</v>
      </c>
      <c r="E420" s="29">
        <v>1</v>
      </c>
      <c r="F420" s="17"/>
      <c r="I420" s="4" t="b">
        <f>INT(F418*100)=(F418*100)</f>
        <v>1</v>
      </c>
    </row>
    <row r="421" spans="1:9" ht="25.5" customHeight="1" x14ac:dyDescent="0.2">
      <c r="A421" s="27">
        <v>419</v>
      </c>
      <c r="B421" s="29">
        <v>7062274</v>
      </c>
      <c r="C421" s="29" t="str">
        <f ca="1">IFERROR(__xludf.DUMMYFUNCTION("GOOGLETRANSLATE(C5976,""en"",""hr"")"),"Razdjelnik Curenje ulja u zupčaniku")</f>
        <v>Razdjelnik Curenje ulja u zupčaniku</v>
      </c>
      <c r="D421" s="28" t="s">
        <v>11</v>
      </c>
      <c r="E421" s="29">
        <v>1</v>
      </c>
      <c r="F421" s="17"/>
    </row>
    <row r="422" spans="1:9" ht="25.5" customHeight="1" x14ac:dyDescent="0.2">
      <c r="A422" s="27">
        <v>420</v>
      </c>
      <c r="B422" s="29">
        <v>7062350</v>
      </c>
      <c r="C422" s="29" t="str">
        <f ca="1">IFERROR(__xludf.DUMMYFUNCTION("GOOGLETRANSLATE(C935,""en"",""hr"")"),"Držač")</f>
        <v>Držač</v>
      </c>
      <c r="D422" s="28" t="s">
        <v>11</v>
      </c>
      <c r="E422" s="29">
        <v>1</v>
      </c>
      <c r="F422" s="17"/>
    </row>
    <row r="423" spans="1:9" ht="25.5" customHeight="1" x14ac:dyDescent="0.2">
      <c r="A423" s="27">
        <v>421</v>
      </c>
      <c r="B423" s="29">
        <v>7062356</v>
      </c>
      <c r="C423" s="29" t="str">
        <f ca="1">IFERROR(__xludf.DUMMYFUNCTION("GOOGLETRANSLATE(C909,""en"",""hr"")"),"Držač")</f>
        <v>Držač</v>
      </c>
      <c r="D423" s="28" t="s">
        <v>11</v>
      </c>
      <c r="E423" s="29">
        <v>1</v>
      </c>
      <c r="F423" s="17"/>
    </row>
    <row r="424" spans="1:9" ht="25.5" customHeight="1" x14ac:dyDescent="0.2">
      <c r="A424" s="27">
        <v>422</v>
      </c>
      <c r="B424" s="29">
        <v>7062362</v>
      </c>
      <c r="C424" s="29" t="str">
        <f ca="1">IFERROR(__xludf.DUMMYFUNCTION("GOOGLETRANSLATE(C336,""en"",""hr"")"),"Stražnji gazni sloj")</f>
        <v>Stražnji gazni sloj</v>
      </c>
      <c r="D424" s="28" t="s">
        <v>11</v>
      </c>
      <c r="E424" s="29">
        <v>1</v>
      </c>
      <c r="F424" s="17"/>
    </row>
    <row r="425" spans="1:9" ht="25.5" customHeight="1" x14ac:dyDescent="0.2">
      <c r="A425" s="27">
        <v>423</v>
      </c>
      <c r="B425" s="29">
        <v>7062363</v>
      </c>
      <c r="C425" s="29" t="str">
        <f ca="1">IFERROR(__xludf.DUMMYFUNCTION("GOOGLETRANSLATE(C334,""en"",""hr"")"),"Stražnji gazni sloj Cpl.")</f>
        <v>Stražnji gazni sloj Cpl.</v>
      </c>
      <c r="D425" s="28" t="s">
        <v>11</v>
      </c>
      <c r="E425" s="29">
        <v>1</v>
      </c>
      <c r="F425" s="17"/>
    </row>
    <row r="426" spans="1:9" ht="25.5" customHeight="1" x14ac:dyDescent="0.2">
      <c r="A426" s="27">
        <v>424</v>
      </c>
      <c r="B426" s="29">
        <v>7062374</v>
      </c>
      <c r="C426" s="29" t="str">
        <f ca="1">IFERROR(__xludf.DUMMYFUNCTION("GOOGLETRANSLATE(C911,""en"",""hr"")"),"Držač")</f>
        <v>Držač</v>
      </c>
      <c r="D426" s="28" t="s">
        <v>11</v>
      </c>
      <c r="E426" s="29">
        <v>1</v>
      </c>
      <c r="F426" s="17"/>
    </row>
    <row r="427" spans="1:9" ht="25.5" customHeight="1" x14ac:dyDescent="0.2">
      <c r="A427" s="27">
        <v>425</v>
      </c>
      <c r="B427" s="29">
        <v>7062403</v>
      </c>
      <c r="C427" s="29" t="str">
        <f ca="1">IFERROR(__xludf.DUMMYFUNCTION("GOOGLETRANSLATE(C3870,""en"",""hr"")"),"Metalni lim")</f>
        <v>Metalni lim</v>
      </c>
      <c r="D427" s="28" t="s">
        <v>11</v>
      </c>
      <c r="E427" s="29">
        <v>1</v>
      </c>
      <c r="F427" s="17"/>
    </row>
    <row r="428" spans="1:9" ht="25.5" customHeight="1" x14ac:dyDescent="0.2">
      <c r="A428" s="27">
        <v>426</v>
      </c>
      <c r="B428" s="29">
        <v>7062417</v>
      </c>
      <c r="C428" s="29" t="str">
        <f ca="1">IFERROR(__xludf.DUMMYFUNCTION("GOOGLETRANSLATE(C199,""en"",""hr"")"),"Sonda razine punjenja")</f>
        <v>Sonda razine punjenja</v>
      </c>
      <c r="D428" s="28" t="s">
        <v>11</v>
      </c>
      <c r="E428" s="29">
        <v>1</v>
      </c>
      <c r="F428" s="17"/>
    </row>
    <row r="429" spans="1:9" ht="25.5" customHeight="1" x14ac:dyDescent="0.2">
      <c r="A429" s="27">
        <v>427</v>
      </c>
      <c r="B429" s="29">
        <v>7062422</v>
      </c>
      <c r="C429" s="29" t="str">
        <f ca="1">IFERROR(__xludf.DUMMYFUNCTION("GOOGLETRANSLATE(C944,""en"",""hr"")"),"Ventilator")</f>
        <v>Ventilator</v>
      </c>
      <c r="D429" s="28" t="s">
        <v>11</v>
      </c>
      <c r="E429" s="29">
        <v>1</v>
      </c>
      <c r="F429" s="17"/>
    </row>
    <row r="430" spans="1:9" ht="25.5" customHeight="1" x14ac:dyDescent="0.2">
      <c r="A430" s="27">
        <v>428</v>
      </c>
      <c r="B430" s="29">
        <v>7062500</v>
      </c>
      <c r="C430" s="29" t="str">
        <f ca="1">IFERROR(__xludf.DUMMYFUNCTION("GOOGLETRANSLATE(C3851,""en"",""hr"")"),"Kolut za crijevo")</f>
        <v>Kolut za crijevo</v>
      </c>
      <c r="D430" s="28" t="s">
        <v>11</v>
      </c>
      <c r="E430" s="29">
        <v>1</v>
      </c>
      <c r="F430" s="17"/>
    </row>
    <row r="431" spans="1:9" ht="25.5" customHeight="1" x14ac:dyDescent="0.2">
      <c r="A431" s="27">
        <v>429</v>
      </c>
      <c r="B431" s="29">
        <v>7062635</v>
      </c>
      <c r="C431" s="29" t="str">
        <f ca="1">IFERROR(__xludf.DUMMYFUNCTION("GOOGLETRANSLATE(C2607,""en"",""hr"")"),"Crijevo")</f>
        <v>Crijevo</v>
      </c>
      <c r="D431" s="28" t="s">
        <v>11</v>
      </c>
      <c r="E431" s="29">
        <v>1</v>
      </c>
      <c r="F431" s="17"/>
    </row>
    <row r="432" spans="1:9" ht="25.5" customHeight="1" x14ac:dyDescent="0.2">
      <c r="A432" s="27">
        <v>430</v>
      </c>
      <c r="B432" s="29">
        <v>7062637</v>
      </c>
      <c r="C432" s="29" t="str">
        <f ca="1">IFERROR(__xludf.DUMMYFUNCTION("GOOGLETRANSLATE(C2606,""en"",""hr"")"),"Crijevo")</f>
        <v>Crijevo</v>
      </c>
      <c r="D432" s="28" t="s">
        <v>11</v>
      </c>
      <c r="E432" s="29">
        <v>1</v>
      </c>
      <c r="F432" s="17"/>
    </row>
    <row r="433" spans="1:9" ht="25.5" customHeight="1" x14ac:dyDescent="0.2">
      <c r="A433" s="27">
        <v>431</v>
      </c>
      <c r="B433" s="29">
        <v>7062639</v>
      </c>
      <c r="C433" s="29" t="str">
        <f ca="1">IFERROR(__xludf.DUMMYFUNCTION("GOOGLETRANSLATE(C2608,""en"",""hr"")"),"Crijevo")</f>
        <v>Crijevo</v>
      </c>
      <c r="D433" s="28" t="s">
        <v>11</v>
      </c>
      <c r="E433" s="29">
        <v>1</v>
      </c>
      <c r="F433" s="17"/>
    </row>
    <row r="434" spans="1:9" ht="25.5" customHeight="1" x14ac:dyDescent="0.2">
      <c r="A434" s="27">
        <v>432</v>
      </c>
      <c r="B434" s="29">
        <v>7063031</v>
      </c>
      <c r="C434" s="29" t="str">
        <f ca="1">IFERROR(__xludf.DUMMYFUNCTION("GOOGLETRANSLATE(C1954,""en"",""hr"")"),"Čahura za nagib metle")</f>
        <v>Čahura za nagib metle</v>
      </c>
      <c r="D434" s="28" t="s">
        <v>11</v>
      </c>
      <c r="E434" s="29">
        <v>1</v>
      </c>
      <c r="F434" s="17"/>
    </row>
    <row r="435" spans="1:9" ht="25.5" customHeight="1" x14ac:dyDescent="0.2">
      <c r="A435" s="27">
        <v>433</v>
      </c>
      <c r="B435" s="29">
        <v>7063090</v>
      </c>
      <c r="C435" s="29" t="str">
        <f ca="1">IFERROR(__xludf.DUMMYFUNCTION("GOOGLETRANSLATE(C315,""en"",""hr"")"),"Stražnja šasija")</f>
        <v>Stražnja šasija</v>
      </c>
      <c r="D435" s="28" t="s">
        <v>11</v>
      </c>
      <c r="E435" s="29">
        <v>1</v>
      </c>
      <c r="F435" s="17"/>
    </row>
    <row r="436" spans="1:9" ht="25.5" customHeight="1" x14ac:dyDescent="0.2">
      <c r="A436" s="27">
        <v>434</v>
      </c>
      <c r="B436" s="29">
        <v>7063103</v>
      </c>
      <c r="C436" s="29" t="str">
        <f ca="1">IFERROR(__xludf.DUMMYFUNCTION("GOOGLETRANSLATE(C945,""en"",""hr"")"),"Prirubnica")</f>
        <v>Prirubnica</v>
      </c>
      <c r="D436" s="28" t="s">
        <v>11</v>
      </c>
      <c r="E436" s="29">
        <v>1</v>
      </c>
      <c r="F436" s="17"/>
    </row>
    <row r="437" spans="1:9" ht="25.5" customHeight="1" x14ac:dyDescent="0.2">
      <c r="A437" s="27">
        <v>435</v>
      </c>
      <c r="B437" s="29">
        <v>7063406</v>
      </c>
      <c r="C437" s="29" t="str">
        <f ca="1">IFERROR(__xludf.DUMMYFUNCTION("GOOGLETRANSLATE(C6421,""en"",""hr"")"),"Kutija")</f>
        <v>Kutija</v>
      </c>
      <c r="D437" s="28" t="s">
        <v>11</v>
      </c>
      <c r="E437" s="29">
        <v>1</v>
      </c>
      <c r="F437" s="17"/>
    </row>
    <row r="438" spans="1:9" ht="25.5" customHeight="1" x14ac:dyDescent="0.2">
      <c r="A438" s="27">
        <v>436</v>
      </c>
      <c r="B438" s="29">
        <v>7063407</v>
      </c>
      <c r="C438" s="29" t="str">
        <f ca="1">IFERROR(__xludf.DUMMYFUNCTION("GOOGLETRANSLATE(C6422,""en"",""hr"")"),"Poklopac")</f>
        <v>Poklopac</v>
      </c>
      <c r="D438" s="28" t="s">
        <v>11</v>
      </c>
      <c r="E438" s="29">
        <v>1</v>
      </c>
      <c r="F438" s="17"/>
    </row>
    <row r="439" spans="1:9" ht="25.5" customHeight="1" x14ac:dyDescent="0.2">
      <c r="A439" s="27">
        <v>437</v>
      </c>
      <c r="B439" s="29">
        <v>7063408</v>
      </c>
      <c r="C439" s="29" t="str">
        <f ca="1">IFERROR(__xludf.DUMMYFUNCTION("GOOGLETRANSLATE(C6423,""en"",""hr"")"),"Ploča, baza")</f>
        <v>Ploča, baza</v>
      </c>
      <c r="D439" s="28" t="s">
        <v>11</v>
      </c>
      <c r="E439" s="29">
        <v>1</v>
      </c>
      <c r="F439" s="17"/>
      <c r="I439" s="4" t="b">
        <f>INT(F437*100)=(F437*100)</f>
        <v>1</v>
      </c>
    </row>
    <row r="440" spans="1:9" ht="25.5" customHeight="1" x14ac:dyDescent="0.2">
      <c r="A440" s="27">
        <v>438</v>
      </c>
      <c r="B440" s="29">
        <v>7063423</v>
      </c>
      <c r="C440" s="29" t="str">
        <f ca="1">IFERROR(__xludf.DUMMYFUNCTION("GOOGLETRANSLATE(C3522,""en"",""hr"")"),"Držač")</f>
        <v>Držač</v>
      </c>
      <c r="D440" s="28" t="s">
        <v>11</v>
      </c>
      <c r="E440" s="29">
        <v>1</v>
      </c>
      <c r="F440" s="17"/>
    </row>
    <row r="441" spans="1:9" ht="25.5" customHeight="1" x14ac:dyDescent="0.2">
      <c r="A441" s="27">
        <v>439</v>
      </c>
      <c r="B441" s="29">
        <v>7063424</v>
      </c>
      <c r="C441" s="29" t="str">
        <f ca="1">IFERROR(__xludf.DUMMYFUNCTION("GOOGLETRANSLATE(C5730,""en"",""hr"")"),"Držač")</f>
        <v>Držač</v>
      </c>
      <c r="D441" s="28" t="s">
        <v>11</v>
      </c>
      <c r="E441" s="29">
        <v>1</v>
      </c>
      <c r="F441" s="17"/>
    </row>
    <row r="442" spans="1:9" ht="25.5" customHeight="1" x14ac:dyDescent="0.2">
      <c r="A442" s="27">
        <v>440</v>
      </c>
      <c r="B442" s="29">
        <v>7063457</v>
      </c>
      <c r="C442" s="29" t="str">
        <f ca="1">IFERROR(__xludf.DUMMYFUNCTION("GOOGLETRANSLATE(C5489,""en"",""hr"")"),"Rešetka")</f>
        <v>Rešetka</v>
      </c>
      <c r="D442" s="28" t="s">
        <v>11</v>
      </c>
      <c r="E442" s="29">
        <v>1</v>
      </c>
      <c r="F442" s="17"/>
      <c r="I442" s="4" t="b">
        <f>INT(F440*100)=(F440*100)</f>
        <v>1</v>
      </c>
    </row>
    <row r="443" spans="1:9" ht="25.5" customHeight="1" x14ac:dyDescent="0.2">
      <c r="A443" s="27">
        <v>441</v>
      </c>
      <c r="B443" s="29">
        <v>7063462</v>
      </c>
      <c r="C443" s="29" t="str">
        <f ca="1">IFERROR(__xludf.DUMMYFUNCTION("GOOGLETRANSLATE(C2432,""en"",""hr"")"),"Držač")</f>
        <v>Držač</v>
      </c>
      <c r="D443" s="28" t="s">
        <v>11</v>
      </c>
      <c r="E443" s="29">
        <v>1</v>
      </c>
      <c r="F443" s="17"/>
    </row>
    <row r="444" spans="1:9" ht="25.5" customHeight="1" x14ac:dyDescent="0.2">
      <c r="A444" s="27">
        <v>442</v>
      </c>
      <c r="B444" s="29">
        <v>7063490</v>
      </c>
      <c r="C444" s="29" t="str">
        <f ca="1">IFERROR(__xludf.DUMMYFUNCTION("GOOGLETRANSLATE(C318,""en"",""hr"")"),"Podrška za baterije 12v Cpl.")</f>
        <v>Podrška za baterije 12v Cpl.</v>
      </c>
      <c r="D444" s="28" t="s">
        <v>11</v>
      </c>
      <c r="E444" s="29">
        <v>1</v>
      </c>
      <c r="F444" s="17"/>
    </row>
    <row r="445" spans="1:9" ht="25.5" customHeight="1" x14ac:dyDescent="0.2">
      <c r="A445" s="27">
        <v>443</v>
      </c>
      <c r="B445" s="29">
        <v>7063523</v>
      </c>
      <c r="C445" s="29" t="str">
        <f ca="1">IFERROR(__xludf.DUMMYFUNCTION("GOOGLETRANSLATE(C5950,""en"",""hr"")"),"Visokotlačno crijevo")</f>
        <v>Visokotlačno crijevo</v>
      </c>
      <c r="D445" s="28" t="s">
        <v>11</v>
      </c>
      <c r="E445" s="29">
        <v>1</v>
      </c>
      <c r="F445" s="17"/>
    </row>
    <row r="446" spans="1:9" ht="25.5" customHeight="1" x14ac:dyDescent="0.2">
      <c r="A446" s="27">
        <v>444</v>
      </c>
      <c r="B446" s="29">
        <v>7063524</v>
      </c>
      <c r="C446" s="29" t="str">
        <f ca="1">IFERROR(__xludf.DUMMYFUNCTION("GOOGLETRANSLATE(C5938,""en"",""hr"")"),"Visokotlačno crijevo")</f>
        <v>Visokotlačno crijevo</v>
      </c>
      <c r="D446" s="28" t="s">
        <v>11</v>
      </c>
      <c r="E446" s="29">
        <v>1</v>
      </c>
      <c r="F446" s="17"/>
      <c r="I446" s="4" t="b">
        <f>INT(F444*100)=(F444*100)</f>
        <v>1</v>
      </c>
    </row>
    <row r="447" spans="1:9" ht="25.5" customHeight="1" x14ac:dyDescent="0.2">
      <c r="A447" s="27">
        <v>445</v>
      </c>
      <c r="B447" s="29">
        <v>7063525</v>
      </c>
      <c r="C447" s="29" t="str">
        <f ca="1">IFERROR(__xludf.DUMMYFUNCTION("GOOGLETRANSLATE(C5940,""en"",""hr"")"),"Visokotlačno crijevo")</f>
        <v>Visokotlačno crijevo</v>
      </c>
      <c r="D447" s="28" t="s">
        <v>11</v>
      </c>
      <c r="E447" s="29">
        <v>1</v>
      </c>
      <c r="F447" s="17"/>
    </row>
    <row r="448" spans="1:9" ht="25.5" customHeight="1" x14ac:dyDescent="0.2">
      <c r="A448" s="27">
        <v>446</v>
      </c>
      <c r="B448" s="29">
        <v>7063526</v>
      </c>
      <c r="C448" s="29" t="str">
        <f ca="1">IFERROR(__xludf.DUMMYFUNCTION("GOOGLETRANSLATE(C5936,""en"",""hr"")"),"Visokotlačno crijevo")</f>
        <v>Visokotlačno crijevo</v>
      </c>
      <c r="D448" s="28" t="s">
        <v>11</v>
      </c>
      <c r="E448" s="29">
        <v>1</v>
      </c>
      <c r="F448" s="17"/>
    </row>
    <row r="449" spans="1:9" ht="25.5" customHeight="1" x14ac:dyDescent="0.2">
      <c r="A449" s="27">
        <v>447</v>
      </c>
      <c r="B449" s="29">
        <v>7063536</v>
      </c>
      <c r="C449" s="29" t="str">
        <f ca="1">IFERROR(__xludf.DUMMYFUNCTION("GOOGLETRANSLATE(C994,""en"",""hr"")"),"Zaštita od prskanja")</f>
        <v>Zaštita od prskanja</v>
      </c>
      <c r="D449" s="28" t="s">
        <v>11</v>
      </c>
      <c r="E449" s="29">
        <v>1</v>
      </c>
      <c r="F449" s="17"/>
    </row>
    <row r="450" spans="1:9" ht="25.5" customHeight="1" x14ac:dyDescent="0.2">
      <c r="A450" s="27">
        <v>448</v>
      </c>
      <c r="B450" s="29">
        <v>7063567</v>
      </c>
      <c r="C450" s="29" t="str">
        <f ca="1">IFERROR(__xludf.DUMMYFUNCTION("GOOGLETRANSLATE(C5484,""en"",""hr"")"),"Okvir")</f>
        <v>Okvir</v>
      </c>
      <c r="D450" s="28" t="s">
        <v>11</v>
      </c>
      <c r="E450" s="29">
        <v>1</v>
      </c>
      <c r="F450" s="17"/>
    </row>
    <row r="451" spans="1:9" ht="25.5" customHeight="1" x14ac:dyDescent="0.2">
      <c r="A451" s="27">
        <v>449</v>
      </c>
      <c r="B451" s="29">
        <v>7063572</v>
      </c>
      <c r="C451" s="29" t="str">
        <f ca="1">IFERROR(__xludf.DUMMYFUNCTION("GOOGLETRANSLATE(C5534,""en"",""hr"")"),"Brtvena ploča")</f>
        <v>Brtvena ploča</v>
      </c>
      <c r="D451" s="28" t="s">
        <v>11</v>
      </c>
      <c r="E451" s="29">
        <v>1</v>
      </c>
      <c r="F451" s="17"/>
    </row>
    <row r="452" spans="1:9" ht="25.5" customHeight="1" x14ac:dyDescent="0.2">
      <c r="A452" s="27">
        <v>450</v>
      </c>
      <c r="B452" s="29">
        <v>7063605</v>
      </c>
      <c r="C452" s="29" t="str">
        <f ca="1">IFERROR(__xludf.DUMMYFUNCTION("GOOGLETRANSLATE(C4673,""en"",""hr"")"),"Držač")</f>
        <v>Držač</v>
      </c>
      <c r="D452" s="28" t="s">
        <v>11</v>
      </c>
      <c r="E452" s="29">
        <v>1</v>
      </c>
      <c r="F452" s="17"/>
    </row>
    <row r="453" spans="1:9" ht="25.5" customHeight="1" x14ac:dyDescent="0.2">
      <c r="A453" s="27">
        <v>451</v>
      </c>
      <c r="B453" s="29">
        <v>7063606</v>
      </c>
      <c r="C453" s="29" t="str">
        <f ca="1">IFERROR(__xludf.DUMMYFUNCTION("GOOGLETRANSLATE(C4669,""en"",""hr"")"),"Držač")</f>
        <v>Držač</v>
      </c>
      <c r="D453" s="28" t="s">
        <v>11</v>
      </c>
      <c r="E453" s="29">
        <v>1</v>
      </c>
      <c r="F453" s="17"/>
    </row>
    <row r="454" spans="1:9" ht="25.5" customHeight="1" x14ac:dyDescent="0.2">
      <c r="A454" s="27">
        <v>452</v>
      </c>
      <c r="B454" s="29">
        <v>7063618</v>
      </c>
      <c r="C454" s="29" t="str">
        <f ca="1">IFERROR(__xludf.DUMMYFUNCTION("GOOGLETRANSLATE(C6766,""en"",""hr"")"),"Ljepljiva ploča")</f>
        <v>Ljepljiva ploča</v>
      </c>
      <c r="D454" s="28" t="s">
        <v>11</v>
      </c>
      <c r="E454" s="29">
        <v>1</v>
      </c>
      <c r="F454" s="17"/>
    </row>
    <row r="455" spans="1:9" ht="25.5" customHeight="1" x14ac:dyDescent="0.2">
      <c r="A455" s="27">
        <v>453</v>
      </c>
      <c r="B455" s="29">
        <v>7063619</v>
      </c>
      <c r="C455" s="29" t="str">
        <f ca="1">IFERROR(__xludf.DUMMYFUNCTION("GOOGLETRANSLATE(C6767,""en"",""hr"")"),"Ljepljiva ploča")</f>
        <v>Ljepljiva ploča</v>
      </c>
      <c r="D455" s="28" t="s">
        <v>11</v>
      </c>
      <c r="E455" s="29">
        <v>1</v>
      </c>
      <c r="F455" s="17"/>
    </row>
    <row r="456" spans="1:9" ht="25.5" customHeight="1" x14ac:dyDescent="0.2">
      <c r="A456" s="27">
        <v>454</v>
      </c>
      <c r="B456" s="29">
        <v>7063620</v>
      </c>
      <c r="C456" s="29" t="str">
        <f ca="1">IFERROR(__xludf.DUMMYFUNCTION("GOOGLETRANSLATE(C6771,""en"",""hr"")"),"Ljepljiva ploča")</f>
        <v>Ljepljiva ploča</v>
      </c>
      <c r="D456" s="28" t="s">
        <v>11</v>
      </c>
      <c r="E456" s="29">
        <v>1</v>
      </c>
      <c r="F456" s="17"/>
    </row>
    <row r="457" spans="1:9" ht="25.5" customHeight="1" x14ac:dyDescent="0.2">
      <c r="A457" s="27">
        <v>455</v>
      </c>
      <c r="B457" s="29">
        <v>7063622</v>
      </c>
      <c r="C457" s="29" t="str">
        <f ca="1">IFERROR(__xludf.DUMMYFUNCTION("GOOGLETRANSLATE(C1560,""en"",""hr"")"),"Držač")</f>
        <v>Držač</v>
      </c>
      <c r="D457" s="28" t="s">
        <v>11</v>
      </c>
      <c r="E457" s="29">
        <v>1</v>
      </c>
      <c r="F457" s="17"/>
    </row>
    <row r="458" spans="1:9" ht="25.5" customHeight="1" x14ac:dyDescent="0.2">
      <c r="A458" s="27">
        <v>456</v>
      </c>
      <c r="B458" s="29">
        <v>7063645</v>
      </c>
      <c r="C458" s="29" t="str">
        <f ca="1">IFERROR(__xludf.DUMMYFUNCTION("GOOGLETRANSLATE(C6375,""en"",""hr"")"),"Držač")</f>
        <v>Držač</v>
      </c>
      <c r="D458" s="28" t="s">
        <v>11</v>
      </c>
      <c r="E458" s="29">
        <v>1</v>
      </c>
      <c r="F458" s="17"/>
    </row>
    <row r="459" spans="1:9" ht="25.5" customHeight="1" x14ac:dyDescent="0.2">
      <c r="A459" s="27">
        <v>457</v>
      </c>
      <c r="B459" s="29">
        <v>7063647</v>
      </c>
      <c r="C459" s="29" t="str">
        <f ca="1">IFERROR(__xludf.DUMMYFUNCTION("GOOGLETRANSLATE(C6357,""en"",""hr"")"),"Držač")</f>
        <v>Držač</v>
      </c>
      <c r="D459" s="28" t="s">
        <v>11</v>
      </c>
      <c r="E459" s="29">
        <v>1</v>
      </c>
      <c r="F459" s="17"/>
    </row>
    <row r="460" spans="1:9" ht="25.5" customHeight="1" x14ac:dyDescent="0.2">
      <c r="A460" s="27">
        <v>458</v>
      </c>
      <c r="B460" s="29">
        <v>7063649</v>
      </c>
      <c r="C460" s="29" t="str">
        <f ca="1">IFERROR(__xludf.DUMMYFUNCTION("GOOGLETRANSLATE(C6365,""en"",""hr"")"),"Ploča za pričvršćivanje")</f>
        <v>Ploča za pričvršćivanje</v>
      </c>
      <c r="D460" s="28" t="s">
        <v>11</v>
      </c>
      <c r="E460" s="29">
        <v>1</v>
      </c>
      <c r="F460" s="17"/>
    </row>
    <row r="461" spans="1:9" ht="25.5" customHeight="1" x14ac:dyDescent="0.2">
      <c r="A461" s="27">
        <v>459</v>
      </c>
      <c r="B461" s="29">
        <v>7063650</v>
      </c>
      <c r="C461" s="29" t="str">
        <f ca="1">IFERROR(__xludf.DUMMYFUNCTION("GOOGLETRANSLATE(C335,""en"",""hr"")"),"Držač stražnjeg gaznog sloja")</f>
        <v>Držač stražnjeg gaznog sloja</v>
      </c>
      <c r="D461" s="28" t="s">
        <v>11</v>
      </c>
      <c r="E461" s="29">
        <v>1</v>
      </c>
      <c r="F461" s="17"/>
    </row>
    <row r="462" spans="1:9" ht="25.5" customHeight="1" x14ac:dyDescent="0.2">
      <c r="A462" s="27">
        <v>460</v>
      </c>
      <c r="B462" s="29">
        <v>7063700</v>
      </c>
      <c r="C462" s="29" t="str">
        <f ca="1">IFERROR(__xludf.DUMMYFUNCTION("GOOGLETRANSLATE(C286,""en"",""hr"")"),"Potpora kabine Bar Cpl.")</f>
        <v>Potpora kabine Bar Cpl.</v>
      </c>
      <c r="D462" s="28" t="s">
        <v>11</v>
      </c>
      <c r="E462" s="29">
        <v>1</v>
      </c>
      <c r="F462" s="17"/>
    </row>
    <row r="463" spans="1:9" ht="25.5" customHeight="1" x14ac:dyDescent="0.2">
      <c r="A463" s="27">
        <v>461</v>
      </c>
      <c r="B463" s="29">
        <v>7063707</v>
      </c>
      <c r="C463" s="29" t="str">
        <f ca="1">IFERROR(__xludf.DUMMYFUNCTION("GOOGLETRANSLATE(C1353,""en"",""hr"")"),"Držač")</f>
        <v>Držač</v>
      </c>
      <c r="D463" s="28" t="s">
        <v>11</v>
      </c>
      <c r="E463" s="29">
        <v>1</v>
      </c>
      <c r="F463" s="17"/>
    </row>
    <row r="464" spans="1:9" ht="25.5" customHeight="1" x14ac:dyDescent="0.2">
      <c r="A464" s="27">
        <v>462</v>
      </c>
      <c r="B464" s="29">
        <v>7063710</v>
      </c>
      <c r="C464" s="29" t="str">
        <f ca="1">IFERROR(__xludf.DUMMYFUNCTION("GOOGLETRANSLATE(C913,""en"",""hr"")"),"Kormilarnica")</f>
        <v>Kormilarnica</v>
      </c>
      <c r="D464" s="28" t="s">
        <v>11</v>
      </c>
      <c r="E464" s="29">
        <v>1</v>
      </c>
      <c r="F464" s="17"/>
      <c r="I464" s="4" t="b">
        <f>INT(F462*100)=(F462*100)</f>
        <v>1</v>
      </c>
    </row>
    <row r="465" spans="1:9" ht="25.5" customHeight="1" x14ac:dyDescent="0.2">
      <c r="A465" s="27">
        <v>463</v>
      </c>
      <c r="B465" s="29">
        <v>7063741</v>
      </c>
      <c r="C465" s="29" t="str">
        <f ca="1">IFERROR(__xludf.DUMMYFUNCTION("GOOGLETRANSLATE(C2061,""en"",""hr"")"),"Cijev")</f>
        <v>Cijev</v>
      </c>
      <c r="D465" s="28" t="s">
        <v>11</v>
      </c>
      <c r="E465" s="29">
        <v>1</v>
      </c>
      <c r="F465" s="17"/>
    </row>
    <row r="466" spans="1:9" ht="25.5" customHeight="1" x14ac:dyDescent="0.2">
      <c r="A466" s="27">
        <v>464</v>
      </c>
      <c r="B466" s="29">
        <v>7063800</v>
      </c>
      <c r="C466" s="29" t="str">
        <f ca="1">IFERROR(__xludf.DUMMYFUNCTION("GOOGLETRANSLATE(C6289,""en"",""hr"")"),"Ožičenje (+FO-FB)")</f>
        <v>Ožičenje (+FO-FB)</v>
      </c>
      <c r="D466" s="28" t="s">
        <v>11</v>
      </c>
      <c r="E466" s="29">
        <v>1</v>
      </c>
      <c r="F466" s="17"/>
    </row>
    <row r="467" spans="1:9" ht="25.5" customHeight="1" x14ac:dyDescent="0.2">
      <c r="A467" s="27">
        <v>465</v>
      </c>
      <c r="B467" s="29">
        <v>7063813</v>
      </c>
      <c r="C467" s="29" t="str">
        <f ca="1">IFERROR(__xludf.DUMMYFUNCTION("GOOGLETRANSLATE(C6275,""en"",""hr"")"),"Ožičenje (+O-CH)")</f>
        <v>Ožičenje (+O-CH)</v>
      </c>
      <c r="D467" s="28" t="s">
        <v>11</v>
      </c>
      <c r="E467" s="29">
        <v>1</v>
      </c>
      <c r="F467" s="17"/>
      <c r="I467" s="4" t="b">
        <f>INT(F112*100)=(F112*100)</f>
        <v>1</v>
      </c>
    </row>
    <row r="468" spans="1:9" ht="25.5" customHeight="1" x14ac:dyDescent="0.2">
      <c r="A468" s="27">
        <v>466</v>
      </c>
      <c r="B468" s="29">
        <v>7063839</v>
      </c>
      <c r="C468" s="29" t="str">
        <f ca="1">IFERROR(__xludf.DUMMYFUNCTION("GOOGLETRANSLATE(C2148,""en"",""hr"")"),"Crijevo")</f>
        <v>Crijevo</v>
      </c>
      <c r="D468" s="28" t="s">
        <v>11</v>
      </c>
      <c r="E468" s="29">
        <v>1</v>
      </c>
      <c r="F468" s="17"/>
    </row>
    <row r="469" spans="1:9" ht="25.5" customHeight="1" x14ac:dyDescent="0.2">
      <c r="A469" s="27">
        <v>467</v>
      </c>
      <c r="B469" s="29">
        <v>7063877</v>
      </c>
      <c r="C469" s="29" t="str">
        <f ca="1">IFERROR(__xludf.DUMMYFUNCTION("GOOGLETRANSLATE(C6260,""en"",""hr"")"),"Kabelski svežanj (+CA-F)")</f>
        <v>Kabelski svežanj (+CA-F)</v>
      </c>
      <c r="D469" s="28" t="s">
        <v>11</v>
      </c>
      <c r="E469" s="29">
        <v>1</v>
      </c>
      <c r="F469" s="17"/>
    </row>
    <row r="470" spans="1:9" ht="25.5" customHeight="1" x14ac:dyDescent="0.2">
      <c r="A470" s="27">
        <v>468</v>
      </c>
      <c r="B470" s="29">
        <v>7063878</v>
      </c>
      <c r="C470" s="29" t="str">
        <f ca="1">IFERROR(__xludf.DUMMYFUNCTION("GOOGLETRANSLATE(C6262,""en"",""hr"")"),"Kabelski svežanj (+CA-F)")</f>
        <v>Kabelski svežanj (+CA-F)</v>
      </c>
      <c r="D470" s="28" t="s">
        <v>11</v>
      </c>
      <c r="E470" s="29">
        <v>1</v>
      </c>
      <c r="F470" s="17"/>
    </row>
    <row r="471" spans="1:9" ht="25.5" customHeight="1" x14ac:dyDescent="0.2">
      <c r="A471" s="27">
        <v>469</v>
      </c>
      <c r="B471" s="29">
        <v>7063879</v>
      </c>
      <c r="C471" s="29" t="str">
        <f ca="1">IFERROR(__xludf.DUMMYFUNCTION("GOOGLETRANSLATE(C6263,""en"",""hr"")"),"Kabelski svežanj (+CA-F)")</f>
        <v>Kabelski svežanj (+CA-F)</v>
      </c>
      <c r="D471" s="28" t="s">
        <v>11</v>
      </c>
      <c r="E471" s="29">
        <v>1</v>
      </c>
      <c r="F471" s="17"/>
      <c r="I471" s="4" t="b">
        <f>INT(F469*100)=(F469*100)</f>
        <v>1</v>
      </c>
    </row>
    <row r="472" spans="1:9" ht="25.5" customHeight="1" x14ac:dyDescent="0.2">
      <c r="A472" s="27">
        <v>470</v>
      </c>
      <c r="B472" s="29">
        <v>7063880</v>
      </c>
      <c r="C472" s="29" t="str">
        <f ca="1">IFERROR(__xludf.DUMMYFUNCTION("GOOGLETRANSLATE(C6261,""en"",""hr"")"),"Kabelski svežanj (+CA-F)")</f>
        <v>Kabelski svežanj (+CA-F)</v>
      </c>
      <c r="D472" s="28" t="s">
        <v>11</v>
      </c>
      <c r="E472" s="29">
        <v>1</v>
      </c>
      <c r="F472" s="17"/>
    </row>
    <row r="473" spans="1:9" ht="25.5" customHeight="1" x14ac:dyDescent="0.2">
      <c r="A473" s="27">
        <v>471</v>
      </c>
      <c r="B473" s="29">
        <v>7063881</v>
      </c>
      <c r="C473" s="29" t="str">
        <f ca="1">IFERROR(__xludf.DUMMYFUNCTION("GOOGLETRANSLATE(C1010,""en"",""hr"")"),"Držač")</f>
        <v>Držač</v>
      </c>
      <c r="D473" s="28" t="s">
        <v>11</v>
      </c>
      <c r="E473" s="29">
        <v>1</v>
      </c>
      <c r="F473" s="17"/>
    </row>
    <row r="474" spans="1:9" ht="25.5" customHeight="1" x14ac:dyDescent="0.2">
      <c r="A474" s="27">
        <v>472</v>
      </c>
      <c r="B474" s="29">
        <v>7063883</v>
      </c>
      <c r="C474" s="29" t="str">
        <f ca="1">IFERROR(__xludf.DUMMYFUNCTION("GOOGLETRANSLATE(C1045,""en"",""hr"")"),"Držač")</f>
        <v>Držač</v>
      </c>
      <c r="D474" s="28" t="s">
        <v>11</v>
      </c>
      <c r="E474" s="29">
        <v>1</v>
      </c>
      <c r="F474" s="17"/>
    </row>
    <row r="475" spans="1:9" ht="25.5" customHeight="1" x14ac:dyDescent="0.2">
      <c r="A475" s="27">
        <v>473</v>
      </c>
      <c r="B475" s="29">
        <v>7063886</v>
      </c>
      <c r="C475" s="29" t="str">
        <f ca="1">IFERROR(__xludf.DUMMYFUNCTION("GOOGLETRANSLATE(C3505,""en"",""hr"")"),"Nosač cijevi za punjenje")</f>
        <v>Nosač cijevi za punjenje</v>
      </c>
      <c r="D475" s="28" t="s">
        <v>11</v>
      </c>
      <c r="E475" s="29">
        <v>1</v>
      </c>
      <c r="F475" s="17"/>
    </row>
    <row r="476" spans="1:9" ht="25.5" customHeight="1" x14ac:dyDescent="0.2">
      <c r="A476" s="27">
        <v>474</v>
      </c>
      <c r="B476" s="29">
        <v>7063903</v>
      </c>
      <c r="C476" s="29" t="str">
        <f ca="1">IFERROR(__xludf.DUMMYFUNCTION("GOOGLETRANSLATE(C616,""en"",""hr"")"),"Prtljažnik kotača")</f>
        <v>Prtljažnik kotača</v>
      </c>
      <c r="D476" s="28" t="s">
        <v>11</v>
      </c>
      <c r="E476" s="29">
        <v>1</v>
      </c>
      <c r="F476" s="17"/>
    </row>
    <row r="477" spans="1:9" ht="25.5" customHeight="1" x14ac:dyDescent="0.2">
      <c r="A477" s="27">
        <v>475</v>
      </c>
      <c r="B477" s="29">
        <v>7063924</v>
      </c>
      <c r="C477" s="29" t="str">
        <f ca="1">IFERROR(__xludf.DUMMYFUNCTION("GOOGLETRANSLATE(C4760,""en"",""hr"")"),"Odbojnik za udarce")</f>
        <v>Odbojnik za udarce</v>
      </c>
      <c r="D477" s="28" t="s">
        <v>11</v>
      </c>
      <c r="E477" s="29">
        <v>1</v>
      </c>
      <c r="F477" s="17"/>
    </row>
    <row r="478" spans="1:9" ht="25.5" customHeight="1" x14ac:dyDescent="0.2">
      <c r="A478" s="27">
        <v>476</v>
      </c>
      <c r="B478" s="29">
        <v>7063934</v>
      </c>
      <c r="C478" s="29" t="str">
        <f ca="1">IFERROR(__xludf.DUMMYFUNCTION("GOOGLETRANSLATE(C4666,""en"",""hr"")"),"Odbojnik za udarce")</f>
        <v>Odbojnik za udarce</v>
      </c>
      <c r="D478" s="28" t="s">
        <v>11</v>
      </c>
      <c r="E478" s="29">
        <v>1</v>
      </c>
      <c r="F478" s="17"/>
    </row>
    <row r="479" spans="1:9" ht="25.5" customHeight="1" x14ac:dyDescent="0.2">
      <c r="A479" s="27">
        <v>477</v>
      </c>
      <c r="B479" s="29">
        <v>7063935</v>
      </c>
      <c r="C479" s="29" t="str">
        <f ca="1">IFERROR(__xludf.DUMMYFUNCTION("GOOGLETRANSLATE(C3267,""en"",""hr"")"),"Poklopni cilindar")</f>
        <v>Poklopni cilindar</v>
      </c>
      <c r="D479" s="28" t="s">
        <v>11</v>
      </c>
      <c r="E479" s="29">
        <v>1</v>
      </c>
      <c r="F479" s="17"/>
    </row>
    <row r="480" spans="1:9" ht="25.5" customHeight="1" x14ac:dyDescent="0.2">
      <c r="A480" s="27">
        <v>478</v>
      </c>
      <c r="B480" s="29">
        <v>7063953</v>
      </c>
      <c r="C480" s="29" t="str">
        <f ca="1">IFERROR(__xludf.DUMMYFUNCTION("GOOGLETRANSLATE(C5732,""en"",""hr"")"),"Hidraulična zaštitna ploča")</f>
        <v>Hidraulična zaštitna ploča</v>
      </c>
      <c r="D480" s="28" t="s">
        <v>11</v>
      </c>
      <c r="E480" s="29">
        <v>1</v>
      </c>
      <c r="F480" s="17"/>
    </row>
    <row r="481" spans="1:9" ht="25.5" customHeight="1" x14ac:dyDescent="0.2">
      <c r="A481" s="27">
        <v>479</v>
      </c>
      <c r="B481" s="29">
        <v>7063966</v>
      </c>
      <c r="C481" s="29" t="str">
        <f ca="1">IFERROR(__xludf.DUMMYFUNCTION("GOOGLETRANSLATE(C6150,""en"",""hr"")"),"Hidraulički blok kpl.")</f>
        <v>Hidraulički blok kpl.</v>
      </c>
      <c r="D481" s="28" t="s">
        <v>11</v>
      </c>
      <c r="E481" s="29">
        <v>1</v>
      </c>
      <c r="F481" s="17"/>
    </row>
    <row r="482" spans="1:9" ht="25.5" customHeight="1" x14ac:dyDescent="0.2">
      <c r="A482" s="27">
        <v>480</v>
      </c>
      <c r="B482" s="29">
        <v>7063967</v>
      </c>
      <c r="C482" s="29" t="str">
        <f ca="1">IFERROR(__xludf.DUMMYFUNCTION("GOOGLETRANSLATE(C2345,""en"",""hr"")"),"Hidraulički blok kpl.")</f>
        <v>Hidraulički blok kpl.</v>
      </c>
      <c r="D482" s="28" t="s">
        <v>11</v>
      </c>
      <c r="E482" s="29">
        <v>1</v>
      </c>
      <c r="F482" s="17"/>
    </row>
    <row r="483" spans="1:9" ht="25.5" customHeight="1" x14ac:dyDescent="0.2">
      <c r="A483" s="27">
        <v>481</v>
      </c>
      <c r="B483" s="29">
        <v>7063979</v>
      </c>
      <c r="C483" s="29" t="str">
        <f ca="1">IFERROR(__xludf.DUMMYFUNCTION("GOOGLETRANSLATE(C4672,""en"",""hr"")"),"Gumeni štitnik od blata lijevo")</f>
        <v>Gumeni štitnik od blata lijevo</v>
      </c>
      <c r="D483" s="28" t="s">
        <v>11</v>
      </c>
      <c r="E483" s="29">
        <v>1</v>
      </c>
      <c r="F483" s="17"/>
    </row>
    <row r="484" spans="1:9" ht="25.5" customHeight="1" x14ac:dyDescent="0.2">
      <c r="A484" s="27">
        <v>482</v>
      </c>
      <c r="B484" s="29">
        <v>7063980</v>
      </c>
      <c r="C484" s="29" t="str">
        <f ca="1">IFERROR(__xludf.DUMMYFUNCTION("GOOGLETRANSLATE(C4667,""en"",""hr"")"),"Gumeni blatobran desni")</f>
        <v>Gumeni blatobran desni</v>
      </c>
      <c r="D484" s="28" t="s">
        <v>11</v>
      </c>
      <c r="E484" s="29">
        <v>1</v>
      </c>
      <c r="F484" s="17"/>
    </row>
    <row r="485" spans="1:9" ht="25.5" customHeight="1" x14ac:dyDescent="0.2">
      <c r="A485" s="27">
        <v>483</v>
      </c>
      <c r="B485" s="29">
        <v>7064015</v>
      </c>
      <c r="C485" s="29" t="str">
        <f ca="1">IFERROR(__xludf.DUMMYFUNCTION("GOOGLETRANSLATE(C340,""en"",""hr"")"),"Zaključavanje limene baterije 12v")</f>
        <v>Zaključavanje limene baterije 12v</v>
      </c>
      <c r="D485" s="28" t="s">
        <v>11</v>
      </c>
      <c r="E485" s="29">
        <v>1</v>
      </c>
      <c r="F485" s="17"/>
    </row>
    <row r="486" spans="1:9" ht="25.5" customHeight="1" x14ac:dyDescent="0.2">
      <c r="A486" s="27">
        <v>484</v>
      </c>
      <c r="B486" s="29">
        <v>7064023</v>
      </c>
      <c r="C486" s="29" t="str">
        <f ca="1">IFERROR(__xludf.DUMMYFUNCTION("GOOGLETRANSLATE(C3548,""en"",""hr"")"),"Zasun s prirubnicom")</f>
        <v>Zasun s prirubnicom</v>
      </c>
      <c r="D486" s="28" t="s">
        <v>11</v>
      </c>
      <c r="E486" s="29">
        <v>1</v>
      </c>
      <c r="F486" s="17"/>
    </row>
    <row r="487" spans="1:9" ht="25.5" customHeight="1" x14ac:dyDescent="0.2">
      <c r="A487" s="27">
        <v>485</v>
      </c>
      <c r="B487" s="29">
        <v>7064038</v>
      </c>
      <c r="C487" s="29" t="str">
        <f ca="1">IFERROR(__xludf.DUMMYFUNCTION("GOOGLETRANSLATE(C4880,""en"",""hr"")"),"Držač")</f>
        <v>Držač</v>
      </c>
      <c r="D487" s="28" t="s">
        <v>11</v>
      </c>
      <c r="E487" s="29">
        <v>1</v>
      </c>
      <c r="F487" s="17"/>
    </row>
    <row r="488" spans="1:9" ht="25.5" customHeight="1" x14ac:dyDescent="0.2">
      <c r="A488" s="27">
        <v>486</v>
      </c>
      <c r="B488" s="29">
        <v>7064044</v>
      </c>
      <c r="C488" s="29" t="str">
        <f ca="1">IFERROR(__xludf.DUMMYFUNCTION("GOOGLETRANSLATE(C5643,""en"",""hr"")"),"gas")</f>
        <v>gas</v>
      </c>
      <c r="D488" s="28" t="s">
        <v>11</v>
      </c>
      <c r="E488" s="29">
        <v>1</v>
      </c>
      <c r="F488" s="17"/>
    </row>
    <row r="489" spans="1:9" ht="25.5" customHeight="1" x14ac:dyDescent="0.2">
      <c r="A489" s="27">
        <v>487</v>
      </c>
      <c r="B489" s="29">
        <v>7064051</v>
      </c>
      <c r="C489" s="29" t="str">
        <f ca="1">IFERROR(__xludf.DUMMYFUNCTION("GOOGLETRANSLATE(C3554,""en"",""hr"")"),"brtva")</f>
        <v>brtva</v>
      </c>
      <c r="D489" s="28" t="s">
        <v>11</v>
      </c>
      <c r="E489" s="29">
        <v>1</v>
      </c>
      <c r="F489" s="17"/>
    </row>
    <row r="490" spans="1:9" ht="25.5" customHeight="1" x14ac:dyDescent="0.2">
      <c r="A490" s="27">
        <v>488</v>
      </c>
      <c r="B490" s="29">
        <v>7064060</v>
      </c>
      <c r="C490" s="29" t="str">
        <f ca="1">IFERROR(__xludf.DUMMYFUNCTION("GOOGLETRANSLATE(C4979,""en"",""hr"")"),"Ploča")</f>
        <v>Ploča</v>
      </c>
      <c r="D490" s="28" t="s">
        <v>11</v>
      </c>
      <c r="E490" s="29">
        <v>1</v>
      </c>
      <c r="F490" s="17"/>
      <c r="I490" s="4" t="b">
        <f>INT(F488*100)=(F488*100)</f>
        <v>1</v>
      </c>
    </row>
    <row r="491" spans="1:9" ht="25.5" customHeight="1" x14ac:dyDescent="0.2">
      <c r="A491" s="27">
        <v>489</v>
      </c>
      <c r="B491" s="29">
        <v>7064061</v>
      </c>
      <c r="C491" s="29" t="str">
        <f ca="1">IFERROR(__xludf.DUMMYFUNCTION("GOOGLETRANSLATE(C4980,""en"",""hr"")"),"Ploča")</f>
        <v>Ploča</v>
      </c>
      <c r="D491" s="28" t="s">
        <v>11</v>
      </c>
      <c r="E491" s="29">
        <v>1</v>
      </c>
      <c r="F491" s="17"/>
    </row>
    <row r="492" spans="1:9" ht="25.5" customHeight="1" x14ac:dyDescent="0.2">
      <c r="A492" s="27">
        <v>490</v>
      </c>
      <c r="B492" s="29">
        <v>7064083</v>
      </c>
      <c r="C492" s="29" t="str">
        <f ca="1">IFERROR(__xludf.DUMMYFUNCTION("GOOGLETRANSLATE(C5005,""en"",""hr"")"),"Stezna ploča")</f>
        <v>Stezna ploča</v>
      </c>
      <c r="D492" s="28" t="s">
        <v>11</v>
      </c>
      <c r="E492" s="29">
        <v>1</v>
      </c>
      <c r="F492" s="17"/>
    </row>
    <row r="493" spans="1:9" ht="25.5" customHeight="1" x14ac:dyDescent="0.2">
      <c r="A493" s="27">
        <v>491</v>
      </c>
      <c r="B493" s="29">
        <v>7064084</v>
      </c>
      <c r="C493" s="29" t="str">
        <f ca="1">IFERROR(__xludf.DUMMYFUNCTION("GOOGLETRANSLATE(C5004,""en"",""hr"")"),"Ploča")</f>
        <v>Ploča</v>
      </c>
      <c r="D493" s="28" t="s">
        <v>11</v>
      </c>
      <c r="E493" s="29">
        <v>1</v>
      </c>
      <c r="F493" s="17"/>
      <c r="I493" s="4" t="b">
        <f>INT(F491*100)=(F491*100)</f>
        <v>1</v>
      </c>
    </row>
    <row r="494" spans="1:9" ht="25.5" customHeight="1" x14ac:dyDescent="0.2">
      <c r="A494" s="27">
        <v>492</v>
      </c>
      <c r="B494" s="29">
        <v>7064093</v>
      </c>
      <c r="C494" s="29" t="str">
        <f ca="1">IFERROR(__xludf.DUMMYFUNCTION("GOOGLETRANSLATE(C1046,""en"",""hr"")"),"Držač")</f>
        <v>Držač</v>
      </c>
      <c r="D494" s="28" t="s">
        <v>11</v>
      </c>
      <c r="E494" s="29">
        <v>1</v>
      </c>
      <c r="F494" s="17"/>
    </row>
    <row r="495" spans="1:9" ht="25.5" customHeight="1" x14ac:dyDescent="0.2">
      <c r="A495" s="27">
        <v>493</v>
      </c>
      <c r="B495" s="29">
        <v>7064102</v>
      </c>
      <c r="C495" s="29" t="str">
        <f ca="1">IFERROR(__xludf.DUMMYFUNCTION("GOOGLETRANSLATE(C3512,""en"",""hr"")"),"Dno poklopca spremnika za rekuperaciju")</f>
        <v>Dno poklopca spremnika za rekuperaciju</v>
      </c>
      <c r="D495" s="28" t="s">
        <v>11</v>
      </c>
      <c r="E495" s="29">
        <v>1</v>
      </c>
      <c r="F495" s="17"/>
    </row>
    <row r="496" spans="1:9" ht="25.5" customHeight="1" x14ac:dyDescent="0.2">
      <c r="A496" s="27">
        <v>494</v>
      </c>
      <c r="B496" s="29">
        <v>7064111</v>
      </c>
      <c r="C496" s="29" t="str">
        <f ca="1">IFERROR(__xludf.DUMMYFUNCTION("GOOGLETRANSLATE(C5006,""en"",""hr"")"),"Pin")</f>
        <v>Pin</v>
      </c>
      <c r="D496" s="28" t="s">
        <v>11</v>
      </c>
      <c r="E496" s="29">
        <v>1</v>
      </c>
      <c r="F496" s="17"/>
    </row>
    <row r="497" spans="1:9" ht="25.5" customHeight="1" x14ac:dyDescent="0.2">
      <c r="A497" s="27">
        <v>495</v>
      </c>
      <c r="B497" s="29">
        <v>7064119</v>
      </c>
      <c r="C497" s="29" t="str">
        <f ca="1">IFERROR(__xludf.DUMMYFUNCTION("GOOGLETRANSLATE(C5045,""en"",""hr"")"),"Zasun za zatvaranje")</f>
        <v>Zasun za zatvaranje</v>
      </c>
      <c r="D497" s="28" t="s">
        <v>11</v>
      </c>
      <c r="E497" s="29">
        <v>1</v>
      </c>
      <c r="F497" s="17"/>
      <c r="I497" s="4" t="b">
        <f>INT(F495*100)=(F495*100)</f>
        <v>1</v>
      </c>
    </row>
    <row r="498" spans="1:9" ht="25.5" customHeight="1" x14ac:dyDescent="0.2">
      <c r="A498" s="27">
        <v>496</v>
      </c>
      <c r="B498" s="29">
        <v>7064155</v>
      </c>
      <c r="C498" s="29" t="str">
        <f ca="1">IFERROR(__xludf.DUMMYFUNCTION("GOOGLETRANSLATE(C185,""en"",""hr"")"),"Radijator cpl.")</f>
        <v>Radijator cpl.</v>
      </c>
      <c r="D498" s="28" t="s">
        <v>11</v>
      </c>
      <c r="E498" s="29">
        <v>1</v>
      </c>
      <c r="F498" s="17"/>
    </row>
    <row r="499" spans="1:9" ht="25.5" customHeight="1" x14ac:dyDescent="0.2">
      <c r="A499" s="27">
        <v>497</v>
      </c>
      <c r="B499" s="29">
        <v>7064186</v>
      </c>
      <c r="C499" s="29" t="str">
        <f ca="1">IFERROR(__xludf.DUMMYFUNCTION("GOOGLETRANSLATE(C3864,""en"",""hr"")"),"Supporto")</f>
        <v>Supporto</v>
      </c>
      <c r="D499" s="28" t="s">
        <v>11</v>
      </c>
      <c r="E499" s="29">
        <v>1</v>
      </c>
      <c r="F499" s="17"/>
    </row>
    <row r="500" spans="1:9" ht="25.5" customHeight="1" x14ac:dyDescent="0.2">
      <c r="A500" s="27">
        <v>498</v>
      </c>
      <c r="B500" s="29">
        <v>7064208</v>
      </c>
      <c r="C500" s="29" t="str">
        <f ca="1">IFERROR(__xludf.DUMMYFUNCTION("GOOGLETRANSLATE(C3516,""en"",""hr"")"),"Klinasti držač Cpl.")</f>
        <v>Klinasti držač Cpl.</v>
      </c>
      <c r="D500" s="28" t="s">
        <v>11</v>
      </c>
      <c r="E500" s="29">
        <v>1</v>
      </c>
      <c r="F500" s="17"/>
    </row>
    <row r="501" spans="1:9" ht="25.5" customHeight="1" x14ac:dyDescent="0.2">
      <c r="A501" s="27">
        <v>499</v>
      </c>
      <c r="B501" s="29">
        <v>7064225</v>
      </c>
      <c r="C501" s="29" t="str">
        <f ca="1">IFERROR(__xludf.DUMMYFUNCTION("GOOGLETRANSLATE(C5943,""en"",""hr"")"),"Cijev")</f>
        <v>Cijev</v>
      </c>
      <c r="D501" s="28" t="s">
        <v>11</v>
      </c>
      <c r="E501" s="29">
        <v>1</v>
      </c>
      <c r="F501" s="17"/>
    </row>
    <row r="502" spans="1:9" ht="25.5" customHeight="1" x14ac:dyDescent="0.2">
      <c r="A502" s="27">
        <v>500</v>
      </c>
      <c r="B502" s="29">
        <v>7064227</v>
      </c>
      <c r="C502" s="29" t="str">
        <f ca="1">IFERROR(__xludf.DUMMYFUNCTION("GOOGLETRANSLATE(C5945,""en"",""hr"")"),"Cijev")</f>
        <v>Cijev</v>
      </c>
      <c r="D502" s="28" t="s">
        <v>11</v>
      </c>
      <c r="E502" s="29">
        <v>1</v>
      </c>
      <c r="F502" s="17"/>
    </row>
    <row r="503" spans="1:9" ht="25.5" customHeight="1" x14ac:dyDescent="0.2">
      <c r="A503" s="27">
        <v>501</v>
      </c>
      <c r="B503" s="29">
        <v>7064228</v>
      </c>
      <c r="C503" s="29" t="str">
        <f ca="1">IFERROR(__xludf.DUMMYFUNCTION("GOOGLETRANSLATE(C5941,""en"",""hr"")"),"Visokotlačno crijevo")</f>
        <v>Visokotlačno crijevo</v>
      </c>
      <c r="D503" s="28" t="s">
        <v>11</v>
      </c>
      <c r="E503" s="29">
        <v>1</v>
      </c>
      <c r="F503" s="17"/>
    </row>
    <row r="504" spans="1:9" ht="25.5" customHeight="1" x14ac:dyDescent="0.2">
      <c r="A504" s="27">
        <v>502</v>
      </c>
      <c r="B504" s="29">
        <v>7064229</v>
      </c>
      <c r="C504" s="29" t="str">
        <f ca="1">IFERROR(__xludf.DUMMYFUNCTION("GOOGLETRANSLATE(C5951,""en"",""hr"")"),"Visokotlačno crijevo")</f>
        <v>Visokotlačno crijevo</v>
      </c>
      <c r="D504" s="28" t="s">
        <v>11</v>
      </c>
      <c r="E504" s="29">
        <v>1</v>
      </c>
      <c r="F504" s="17"/>
    </row>
    <row r="505" spans="1:9" ht="25.5" customHeight="1" x14ac:dyDescent="0.2">
      <c r="A505" s="27">
        <v>503</v>
      </c>
      <c r="B505" s="29">
        <v>7064230</v>
      </c>
      <c r="C505" s="29" t="str">
        <f ca="1">IFERROR(__xludf.DUMMYFUNCTION("GOOGLETRANSLATE(C5939,""en"",""hr"")"),"Visokotlačno crijevo")</f>
        <v>Visokotlačno crijevo</v>
      </c>
      <c r="D505" s="28" t="s">
        <v>11</v>
      </c>
      <c r="E505" s="29">
        <v>1</v>
      </c>
      <c r="F505" s="17"/>
    </row>
    <row r="506" spans="1:9" ht="25.5" customHeight="1" x14ac:dyDescent="0.2">
      <c r="A506" s="27">
        <v>504</v>
      </c>
      <c r="B506" s="29">
        <v>7064231</v>
      </c>
      <c r="C506" s="29" t="str">
        <f ca="1">IFERROR(__xludf.DUMMYFUNCTION("GOOGLETRANSLATE(C5937,""en"",""hr"")"),"Visokotlačno crijevo")</f>
        <v>Visokotlačno crijevo</v>
      </c>
      <c r="D506" s="28" t="s">
        <v>11</v>
      </c>
      <c r="E506" s="29">
        <v>1</v>
      </c>
      <c r="F506" s="17"/>
    </row>
    <row r="507" spans="1:9" ht="25.5" customHeight="1" x14ac:dyDescent="0.2">
      <c r="A507" s="27">
        <v>505</v>
      </c>
      <c r="B507" s="29">
        <v>7064254</v>
      </c>
      <c r="C507" s="29" t="str">
        <f ca="1">IFERROR(__xludf.DUMMYFUNCTION("GOOGLETRANSLATE(C6488,""en"",""hr"")"),"Držač")</f>
        <v>Držač</v>
      </c>
      <c r="D507" s="28" t="s">
        <v>11</v>
      </c>
      <c r="E507" s="29">
        <v>1</v>
      </c>
      <c r="F507" s="17"/>
    </row>
    <row r="508" spans="1:9" ht="25.5" customHeight="1" x14ac:dyDescent="0.2">
      <c r="A508" s="27">
        <v>506</v>
      </c>
      <c r="B508" s="29">
        <v>7064255</v>
      </c>
      <c r="C508" s="29" t="str">
        <f ca="1">IFERROR(__xludf.DUMMYFUNCTION("GOOGLETRANSLATE(C6489,""en"",""hr"")"),"Ploča za pričvršćivanje")</f>
        <v>Ploča za pričvršćivanje</v>
      </c>
      <c r="D508" s="28" t="s">
        <v>11</v>
      </c>
      <c r="E508" s="29">
        <v>1</v>
      </c>
      <c r="F508" s="17"/>
    </row>
    <row r="509" spans="1:9" ht="25.5" customHeight="1" x14ac:dyDescent="0.2">
      <c r="A509" s="27">
        <v>507</v>
      </c>
      <c r="B509" s="29">
        <v>7064256</v>
      </c>
      <c r="C509" s="29" t="str">
        <f ca="1">IFERROR(__xludf.DUMMYFUNCTION("GOOGLETRANSLATE(C6491,""en"",""hr"")"),"Ploča za pričvršćivanje")</f>
        <v>Ploča za pričvršćivanje</v>
      </c>
      <c r="D509" s="28" t="s">
        <v>11</v>
      </c>
      <c r="E509" s="29">
        <v>1</v>
      </c>
      <c r="F509" s="17"/>
    </row>
    <row r="510" spans="1:9" ht="25.5" customHeight="1" x14ac:dyDescent="0.2">
      <c r="A510" s="27">
        <v>508</v>
      </c>
      <c r="B510" s="29">
        <v>7064257</v>
      </c>
      <c r="C510" s="29" t="str">
        <f ca="1">IFERROR(__xludf.DUMMYFUNCTION("GOOGLETRANSLATE(C6490,""en"",""hr"")"),"Ploča za pričvršćivanje")</f>
        <v>Ploča za pričvršćivanje</v>
      </c>
      <c r="D510" s="28" t="s">
        <v>11</v>
      </c>
      <c r="E510" s="29">
        <v>1</v>
      </c>
      <c r="F510" s="17"/>
    </row>
    <row r="511" spans="1:9" ht="25.5" customHeight="1" x14ac:dyDescent="0.2">
      <c r="A511" s="27">
        <v>509</v>
      </c>
      <c r="B511" s="29">
        <v>7064262</v>
      </c>
      <c r="C511" s="29" t="str">
        <f ca="1">IFERROR(__xludf.DUMMYFUNCTION("GOOGLETRANSLATE(C5920,""en"",""hr"")"),"Cijev")</f>
        <v>Cijev</v>
      </c>
      <c r="D511" s="28" t="s">
        <v>11</v>
      </c>
      <c r="E511" s="29">
        <v>1</v>
      </c>
      <c r="F511" s="17"/>
    </row>
    <row r="512" spans="1:9" ht="25.5" customHeight="1" x14ac:dyDescent="0.2">
      <c r="A512" s="27">
        <v>510</v>
      </c>
      <c r="B512" s="29">
        <v>7064273</v>
      </c>
      <c r="C512" s="29" t="str">
        <f ca="1">IFERROR(__xludf.DUMMYFUNCTION("GOOGLETRANSLATE(C5919,""en"",""hr"")"),"Cijev")</f>
        <v>Cijev</v>
      </c>
      <c r="D512" s="28" t="s">
        <v>11</v>
      </c>
      <c r="E512" s="29">
        <v>1</v>
      </c>
      <c r="F512" s="17"/>
    </row>
    <row r="513" spans="1:9" ht="25.5" customHeight="1" x14ac:dyDescent="0.2">
      <c r="A513" s="27">
        <v>511</v>
      </c>
      <c r="B513" s="29">
        <v>7064314</v>
      </c>
      <c r="C513" s="29" t="str">
        <f ca="1">IFERROR(__xludf.DUMMYFUNCTION("GOOGLETRANSLATE(C2373,""en"",""hr"")"),"Cijev")</f>
        <v>Cijev</v>
      </c>
      <c r="D513" s="28" t="s">
        <v>11</v>
      </c>
      <c r="E513" s="29">
        <v>1</v>
      </c>
      <c r="F513" s="17"/>
    </row>
    <row r="514" spans="1:9" ht="25.5" customHeight="1" x14ac:dyDescent="0.2">
      <c r="A514" s="27">
        <v>512</v>
      </c>
      <c r="B514" s="29">
        <v>7064335</v>
      </c>
      <c r="C514" s="29" t="str">
        <f ca="1">IFERROR(__xludf.DUMMYFUNCTION("GOOGLETRANSLATE(C33,""en"",""hr"")"),"Poklopac hladnjaka")</f>
        <v>Poklopac hladnjaka</v>
      </c>
      <c r="D514" s="28" t="s">
        <v>11</v>
      </c>
      <c r="E514" s="29">
        <v>1</v>
      </c>
      <c r="F514" s="17"/>
    </row>
    <row r="515" spans="1:9" ht="25.5" customHeight="1" x14ac:dyDescent="0.2">
      <c r="A515" s="27">
        <v>513</v>
      </c>
      <c r="B515" s="29">
        <v>7064360</v>
      </c>
      <c r="C515" s="29" t="str">
        <f ca="1">IFERROR(__xludf.DUMMYFUNCTION("GOOGLETRANSLATE(C1550,""en"",""hr"")"),"Ploča za pričvršćivanje")</f>
        <v>Ploča za pričvršćivanje</v>
      </c>
      <c r="D515" s="28" t="s">
        <v>11</v>
      </c>
      <c r="E515" s="29">
        <v>1</v>
      </c>
      <c r="F515" s="17"/>
      <c r="I515" s="4" t="b">
        <f>INT(F513*100)=(F513*100)</f>
        <v>1</v>
      </c>
    </row>
    <row r="516" spans="1:9" ht="25.5" customHeight="1" x14ac:dyDescent="0.2">
      <c r="A516" s="27">
        <v>514</v>
      </c>
      <c r="B516" s="29">
        <v>7064383</v>
      </c>
      <c r="C516" s="29" t="str">
        <f ca="1">IFERROR(__xludf.DUMMYFUNCTION("GOOGLETRANSLATE(C5226,""en"",""hr"")"),"Ploča, baza")</f>
        <v>Ploča, baza</v>
      </c>
      <c r="D516" s="28" t="s">
        <v>11</v>
      </c>
      <c r="E516" s="29">
        <v>1</v>
      </c>
      <c r="F516" s="17"/>
    </row>
    <row r="517" spans="1:9" ht="25.5" customHeight="1" x14ac:dyDescent="0.2">
      <c r="A517" s="27">
        <v>515</v>
      </c>
      <c r="B517" s="29">
        <v>7064385</v>
      </c>
      <c r="C517" s="29" t="str">
        <f ca="1">IFERROR(__xludf.DUMMYFUNCTION("GOOGLETRANSLATE(C5225,""en"",""hr"")"),"Ploča, baza")</f>
        <v>Ploča, baza</v>
      </c>
      <c r="D517" s="28" t="s">
        <v>11</v>
      </c>
      <c r="E517" s="29">
        <v>1</v>
      </c>
      <c r="F517" s="17"/>
    </row>
    <row r="518" spans="1:9" ht="25.5" customHeight="1" x14ac:dyDescent="0.2">
      <c r="A518" s="27">
        <v>516</v>
      </c>
      <c r="B518" s="29">
        <v>7064394</v>
      </c>
      <c r="C518" s="29" t="str">
        <f ca="1">IFERROR(__xludf.DUMMYFUNCTION("GOOGLETRANSLATE(C37,""en"",""hr"")"),"Svjetlo registarske pločice")</f>
        <v>Svjetlo registarske pločice</v>
      </c>
      <c r="D518" s="28" t="s">
        <v>11</v>
      </c>
      <c r="E518" s="29">
        <v>1</v>
      </c>
      <c r="F518" s="17"/>
      <c r="I518" s="4" t="b">
        <f>INT(F516*100)=(F516*100)</f>
        <v>1</v>
      </c>
    </row>
    <row r="519" spans="1:9" ht="25.5" customHeight="1" x14ac:dyDescent="0.2">
      <c r="A519" s="27">
        <v>517</v>
      </c>
      <c r="B519" s="29">
        <v>7064433</v>
      </c>
      <c r="C519" s="29" t="str">
        <f ca="1">IFERROR(__xludf.DUMMYFUNCTION("GOOGLETRANSLATE(C1394,""en"",""hr"")"),"Zagrada")</f>
        <v>Zagrada</v>
      </c>
      <c r="D519" s="28" t="s">
        <v>11</v>
      </c>
      <c r="E519" s="29">
        <v>1</v>
      </c>
      <c r="F519" s="17"/>
    </row>
    <row r="520" spans="1:9" ht="25.5" customHeight="1" x14ac:dyDescent="0.2">
      <c r="A520" s="27">
        <v>518</v>
      </c>
      <c r="B520" s="29">
        <v>7064435</v>
      </c>
      <c r="C520" s="29" t="str">
        <f ca="1">IFERROR(__xludf.DUMMYFUNCTION("GOOGLETRANSLATE(C1518,""en"",""hr"")"),"Visokonaponski kabel DC hidraulike")</f>
        <v>Visokonaponski kabel DC hidraulike</v>
      </c>
      <c r="D520" s="28" t="s">
        <v>11</v>
      </c>
      <c r="E520" s="29">
        <v>1</v>
      </c>
      <c r="F520" s="17"/>
    </row>
    <row r="521" spans="1:9" ht="25.5" customHeight="1" x14ac:dyDescent="0.2">
      <c r="A521" s="27">
        <v>519</v>
      </c>
      <c r="B521" s="29">
        <v>7064437</v>
      </c>
      <c r="C521" s="29" t="str">
        <f ca="1">IFERROR(__xludf.DUMMYFUNCTION("GOOGLETRANSLATE(C1516,""en"",""hr"")"),"Visokonaponski kabel DC grijač")</f>
        <v>Visokonaponski kabel DC grijač</v>
      </c>
      <c r="D521" s="28" t="s">
        <v>11</v>
      </c>
      <c r="E521" s="29">
        <v>1</v>
      </c>
      <c r="F521" s="17"/>
    </row>
    <row r="522" spans="1:9" ht="25.5" customHeight="1" x14ac:dyDescent="0.2">
      <c r="A522" s="27">
        <v>520</v>
      </c>
      <c r="B522" s="29">
        <v>7064439</v>
      </c>
      <c r="C522" s="29" t="str">
        <f ca="1">IFERROR(__xludf.DUMMYFUNCTION("GOOGLETRANSLATE(C1515,""en"",""hr"")"),"Visokonaponski kabel DC punjač")</f>
        <v>Visokonaponski kabel DC punjač</v>
      </c>
      <c r="D522" s="28" t="s">
        <v>11</v>
      </c>
      <c r="E522" s="29">
        <v>1</v>
      </c>
      <c r="F522" s="17"/>
      <c r="I522" s="4" t="b">
        <f>INT(F520*100)=(F520*100)</f>
        <v>1</v>
      </c>
    </row>
    <row r="523" spans="1:9" ht="25.5" customHeight="1" x14ac:dyDescent="0.2">
      <c r="A523" s="27">
        <v>521</v>
      </c>
      <c r="B523" s="29">
        <v>7064440</v>
      </c>
      <c r="C523" s="29" t="str">
        <f ca="1">IFERROR(__xludf.DUMMYFUNCTION("GOOGLETRANSLATE(C1517,""en"",""hr"")"),"Visokonaponski kabel AC vučni pogon")</f>
        <v>Visokonaponski kabel AC vučni pogon</v>
      </c>
      <c r="D523" s="28" t="s">
        <v>11</v>
      </c>
      <c r="E523" s="29">
        <v>1</v>
      </c>
      <c r="F523" s="17"/>
    </row>
    <row r="524" spans="1:9" ht="25.5" customHeight="1" x14ac:dyDescent="0.2">
      <c r="A524" s="27">
        <v>522</v>
      </c>
      <c r="B524" s="29">
        <v>7064457</v>
      </c>
      <c r="C524" s="29" t="str">
        <f ca="1">IFERROR(__xludf.DUMMYFUNCTION("GOOGLETRANSLATE(C24,""en"",""hr"")"),"Prekidač razine")</f>
        <v>Prekidač razine</v>
      </c>
      <c r="D524" s="28" t="s">
        <v>11</v>
      </c>
      <c r="E524" s="29">
        <v>1</v>
      </c>
      <c r="F524" s="17"/>
    </row>
    <row r="525" spans="1:9" ht="25.5" customHeight="1" x14ac:dyDescent="0.2">
      <c r="A525" s="27">
        <v>523</v>
      </c>
      <c r="B525" s="29">
        <v>7064460</v>
      </c>
      <c r="C525" s="29" t="str">
        <f ca="1">IFERROR(__xludf.DUMMYFUNCTION("GOOGLETRANSLATE(C1548,""en"",""hr"")"),"Dvostruka stezaljka za cijevi")</f>
        <v>Dvostruka stezaljka za cijevi</v>
      </c>
      <c r="D525" s="28" t="s">
        <v>11</v>
      </c>
      <c r="E525" s="29">
        <v>1</v>
      </c>
      <c r="F525" s="17"/>
    </row>
    <row r="526" spans="1:9" ht="25.5" customHeight="1" x14ac:dyDescent="0.2">
      <c r="A526" s="27">
        <v>524</v>
      </c>
      <c r="B526" s="29">
        <v>7064464</v>
      </c>
      <c r="C526" s="29" t="str">
        <f ca="1">IFERROR(__xludf.DUMMYFUNCTION("GOOGLETRANSLATE(C1549,""en"",""hr"")"),"Poklopna ploča")</f>
        <v>Poklopna ploča</v>
      </c>
      <c r="D526" s="28" t="s">
        <v>11</v>
      </c>
      <c r="E526" s="29">
        <v>1</v>
      </c>
      <c r="F526" s="17"/>
    </row>
    <row r="527" spans="1:9" ht="25.5" customHeight="1" x14ac:dyDescent="0.2">
      <c r="A527" s="27">
        <v>525</v>
      </c>
      <c r="B527" s="29">
        <v>7064468</v>
      </c>
      <c r="C527" s="29" t="str">
        <f ca="1">IFERROR(__xludf.DUMMYFUNCTION("GOOGLETRANSLATE(C1567,""en"",""hr"")"),"Supporto")</f>
        <v>Supporto</v>
      </c>
      <c r="D527" s="28" t="s">
        <v>11</v>
      </c>
      <c r="E527" s="29">
        <v>1</v>
      </c>
      <c r="F527" s="17"/>
    </row>
    <row r="528" spans="1:9" ht="25.5" customHeight="1" x14ac:dyDescent="0.2">
      <c r="A528" s="27">
        <v>526</v>
      </c>
      <c r="B528" s="29">
        <v>7064492</v>
      </c>
      <c r="C528" s="29" t="str">
        <f ca="1">IFERROR(__xludf.DUMMYFUNCTION("GOOGLETRANSLATE(C297,""en"",""hr"")"),"Držač Hidraulika Električni")</f>
        <v>Držač Hidraulika Električni</v>
      </c>
      <c r="D528" s="28" t="s">
        <v>11</v>
      </c>
      <c r="E528" s="29">
        <v>1</v>
      </c>
      <c r="F528" s="17"/>
    </row>
    <row r="529" spans="1:9" ht="25.5" customHeight="1" x14ac:dyDescent="0.2">
      <c r="A529" s="27">
        <v>527</v>
      </c>
      <c r="B529" s="29">
        <v>7064507</v>
      </c>
      <c r="C529" s="29" t="str">
        <f ca="1">IFERROR(__xludf.DUMMYFUNCTION("GOOGLETRANSLATE(C1538,""en"",""hr"")"),"Motor rezolvera kabelskog svežnja")</f>
        <v>Motor rezolvera kabelskog svežnja</v>
      </c>
      <c r="D529" s="28" t="s">
        <v>11</v>
      </c>
      <c r="E529" s="29">
        <v>1</v>
      </c>
      <c r="F529" s="17"/>
    </row>
    <row r="530" spans="1:9" ht="25.5" customHeight="1" x14ac:dyDescent="0.2">
      <c r="A530" s="27">
        <v>528</v>
      </c>
      <c r="B530" s="29">
        <v>7064508</v>
      </c>
      <c r="C530" s="29" t="str">
        <f ca="1">IFERROR(__xludf.DUMMYFUNCTION("GOOGLETRANSLATE(C1536,""en"",""hr"")"),"Električni motor")</f>
        <v>Električni motor</v>
      </c>
      <c r="D530" s="28" t="s">
        <v>11</v>
      </c>
      <c r="E530" s="29">
        <v>1</v>
      </c>
      <c r="F530" s="17"/>
    </row>
    <row r="531" spans="1:9" ht="25.5" customHeight="1" x14ac:dyDescent="0.2">
      <c r="A531" s="27">
        <v>529</v>
      </c>
      <c r="B531" s="29">
        <v>7064517</v>
      </c>
      <c r="C531" s="29" t="str">
        <f ca="1">IFERROR(__xludf.DUMMYFUNCTION("GOOGLETRANSLATE(C1216,""en"",""hr"")"),"Držač")</f>
        <v>Držač</v>
      </c>
      <c r="D531" s="28" t="s">
        <v>11</v>
      </c>
      <c r="E531" s="29">
        <v>1</v>
      </c>
      <c r="F531" s="17"/>
    </row>
    <row r="532" spans="1:9" ht="25.5" customHeight="1" x14ac:dyDescent="0.2">
      <c r="A532" s="27">
        <v>530</v>
      </c>
      <c r="B532" s="29">
        <v>7064527</v>
      </c>
      <c r="C532" s="29" t="str">
        <f ca="1">IFERROR(__xludf.DUMMYFUNCTION("GOOGLETRANSLATE(C1376,""en"",""hr"")"),"Držač")</f>
        <v>Držač</v>
      </c>
      <c r="D532" s="28" t="s">
        <v>11</v>
      </c>
      <c r="E532" s="29">
        <v>1</v>
      </c>
      <c r="F532" s="17"/>
    </row>
    <row r="533" spans="1:9" ht="25.5" customHeight="1" x14ac:dyDescent="0.2">
      <c r="A533" s="27">
        <v>531</v>
      </c>
      <c r="B533" s="29">
        <v>7064545</v>
      </c>
      <c r="C533" s="29" t="str">
        <f ca="1">IFERROR(__xludf.DUMMYFUNCTION("GOOGLETRANSLATE(C6276,""en"",""hr"")"),"Kabel (+CH-P)")</f>
        <v>Kabel (+CH-P)</v>
      </c>
      <c r="D533" s="28" t="s">
        <v>11</v>
      </c>
      <c r="E533" s="29">
        <v>1</v>
      </c>
      <c r="F533" s="17"/>
    </row>
    <row r="534" spans="1:9" ht="25.5" customHeight="1" x14ac:dyDescent="0.2">
      <c r="A534" s="27">
        <v>532</v>
      </c>
      <c r="B534" s="29">
        <v>7064572</v>
      </c>
      <c r="C534" s="29" t="str">
        <f ca="1">IFERROR(__xludf.DUMMYFUNCTION("GOOGLETRANSLATE(C1366,""en"",""hr"")"),"Straža")</f>
        <v>Straža</v>
      </c>
      <c r="D534" s="28" t="s">
        <v>11</v>
      </c>
      <c r="E534" s="29">
        <v>1</v>
      </c>
      <c r="F534" s="17"/>
    </row>
    <row r="535" spans="1:9" ht="25.5" customHeight="1" x14ac:dyDescent="0.2">
      <c r="A535" s="27">
        <v>533</v>
      </c>
      <c r="B535" s="29">
        <v>7064574</v>
      </c>
      <c r="C535" s="29" t="str">
        <f ca="1">IFERROR(__xludf.DUMMYFUNCTION("GOOGLETRANSLATE(C23,""en"",""hr"")"),"Gumena brtva")</f>
        <v>Gumena brtva</v>
      </c>
      <c r="D535" s="28" t="s">
        <v>11</v>
      </c>
      <c r="E535" s="29">
        <v>1</v>
      </c>
      <c r="F535" s="17"/>
    </row>
    <row r="536" spans="1:9" ht="25.5" customHeight="1" x14ac:dyDescent="0.2">
      <c r="A536" s="27">
        <v>534</v>
      </c>
      <c r="B536" s="29">
        <v>7064599</v>
      </c>
      <c r="C536" s="29" t="str">
        <f ca="1">IFERROR(__xludf.DUMMYFUNCTION("GOOGLETRANSLATE(C1097,""en"",""hr"")"),"Gumeni nosač")</f>
        <v>Gumeni nosač</v>
      </c>
      <c r="D536" s="28" t="s">
        <v>11</v>
      </c>
      <c r="E536" s="29">
        <v>1</v>
      </c>
      <c r="F536" s="17"/>
    </row>
    <row r="537" spans="1:9" ht="25.5" customHeight="1" x14ac:dyDescent="0.2">
      <c r="A537" s="27">
        <v>535</v>
      </c>
      <c r="B537" s="29">
        <v>7064601</v>
      </c>
      <c r="C537" s="29" t="str">
        <f ca="1">IFERROR(__xludf.DUMMYFUNCTION("GOOGLETRANSLATE(C1639,""en"",""hr"")"),"Oblikovano crijevo")</f>
        <v>Oblikovano crijevo</v>
      </c>
      <c r="D537" s="28" t="s">
        <v>11</v>
      </c>
      <c r="E537" s="29">
        <v>1</v>
      </c>
      <c r="F537" s="17"/>
    </row>
    <row r="538" spans="1:9" ht="25.5" customHeight="1" x14ac:dyDescent="0.2">
      <c r="A538" s="27">
        <v>536</v>
      </c>
      <c r="B538" s="29">
        <v>7064614</v>
      </c>
      <c r="C538" s="29" t="str">
        <f ca="1">IFERROR(__xludf.DUMMYFUNCTION("GOOGLETRANSLATE(C4598,""en"",""hr"")"),"Držač")</f>
        <v>Držač</v>
      </c>
      <c r="D538" s="28" t="s">
        <v>11</v>
      </c>
      <c r="E538" s="29">
        <v>1</v>
      </c>
      <c r="F538" s="17"/>
    </row>
    <row r="539" spans="1:9" ht="25.5" customHeight="1" x14ac:dyDescent="0.2">
      <c r="A539" s="27">
        <v>537</v>
      </c>
      <c r="B539" s="29">
        <v>7064706</v>
      </c>
      <c r="C539" s="29" t="str">
        <f ca="1">IFERROR(__xludf.DUMMYFUNCTION("GOOGLETRANSLATE(C1425,""en"",""hr"")"),"Rashladni vod ECL 1")</f>
        <v>Rashladni vod ECL 1</v>
      </c>
      <c r="D539" s="28" t="s">
        <v>11</v>
      </c>
      <c r="E539" s="29">
        <v>1</v>
      </c>
      <c r="F539" s="17"/>
    </row>
    <row r="540" spans="1:9" ht="25.5" customHeight="1" x14ac:dyDescent="0.2">
      <c r="A540" s="27">
        <v>538</v>
      </c>
      <c r="B540" s="29">
        <v>7064707</v>
      </c>
      <c r="C540" s="29" t="str">
        <f ca="1">IFERROR(__xludf.DUMMYFUNCTION("GOOGLETRANSLATE(C1426,""en"",""hr"")"),"Rashladni vod ECL 2")</f>
        <v>Rashladni vod ECL 2</v>
      </c>
      <c r="D540" s="28" t="s">
        <v>11</v>
      </c>
      <c r="E540" s="29">
        <v>1</v>
      </c>
      <c r="F540" s="17"/>
    </row>
    <row r="541" spans="1:9" ht="25.5" customHeight="1" x14ac:dyDescent="0.2">
      <c r="A541" s="27">
        <v>539</v>
      </c>
      <c r="B541" s="29">
        <v>7064708</v>
      </c>
      <c r="C541" s="29" t="str">
        <f ca="1">IFERROR(__xludf.DUMMYFUNCTION("GOOGLETRANSLATE(C1427,""en"",""hr"")"),"Rashladni vod ECL 3")</f>
        <v>Rashladni vod ECL 3</v>
      </c>
      <c r="D541" s="28" t="s">
        <v>11</v>
      </c>
      <c r="E541" s="29">
        <v>1</v>
      </c>
      <c r="F541" s="17"/>
      <c r="I541" s="4" t="b">
        <f>INT(F539*100)=(F539*100)</f>
        <v>1</v>
      </c>
    </row>
    <row r="542" spans="1:9" ht="25.5" customHeight="1" x14ac:dyDescent="0.2">
      <c r="A542" s="27">
        <v>540</v>
      </c>
      <c r="B542" s="29">
        <v>7064709</v>
      </c>
      <c r="C542" s="29" t="str">
        <f ca="1">IFERROR(__xludf.DUMMYFUNCTION("GOOGLETRANSLATE(C1428,""en"",""hr"")"),"Rashladni vod ECL 6")</f>
        <v>Rashladni vod ECL 6</v>
      </c>
      <c r="D542" s="28" t="s">
        <v>11</v>
      </c>
      <c r="E542" s="29">
        <v>1</v>
      </c>
      <c r="F542" s="17"/>
    </row>
    <row r="543" spans="1:9" ht="25.5" customHeight="1" x14ac:dyDescent="0.2">
      <c r="A543" s="27">
        <v>541</v>
      </c>
      <c r="B543" s="29">
        <v>7064710</v>
      </c>
      <c r="C543" s="29" t="str">
        <f ca="1">IFERROR(__xludf.DUMMYFUNCTION("GOOGLETRANSLATE(C1429,""en"",""hr"")"),"AdBlue dovodni paket crijeva PL ECL 5")</f>
        <v>AdBlue dovodni paket crijeva PL ECL 5</v>
      </c>
      <c r="D543" s="28" t="s">
        <v>11</v>
      </c>
      <c r="E543" s="29">
        <v>1</v>
      </c>
      <c r="F543" s="17"/>
    </row>
    <row r="544" spans="1:9" ht="25.5" customHeight="1" x14ac:dyDescent="0.2">
      <c r="A544" s="27">
        <v>542</v>
      </c>
      <c r="B544" s="29">
        <v>7064711</v>
      </c>
      <c r="C544" s="29" t="str">
        <f ca="1">IFERROR(__xludf.DUMMYFUNCTION("GOOGLETRANSLATE(C1430,""en"",""hr"")"),"AdBlue dovodni paket crijeva BL SL ECL 4")</f>
        <v>AdBlue dovodni paket crijeva BL SL ECL 4</v>
      </c>
      <c r="D544" s="28" t="s">
        <v>11</v>
      </c>
      <c r="E544" s="29">
        <v>1</v>
      </c>
      <c r="F544" s="17"/>
      <c r="I544" s="4" t="b">
        <f>INT(F542*100)=(F542*100)</f>
        <v>1</v>
      </c>
    </row>
    <row r="545" spans="1:9" ht="25.5" customHeight="1" x14ac:dyDescent="0.2">
      <c r="A545" s="27">
        <v>543</v>
      </c>
      <c r="B545" s="29">
        <v>7064728</v>
      </c>
      <c r="C545" s="29" t="str">
        <f ca="1">IFERROR(__xludf.DUMMYFUNCTION("GOOGLETRANSLATE(C3372,""en"",""hr"")"),"Stezaljka")</f>
        <v>Stezaljka</v>
      </c>
      <c r="D545" s="28" t="s">
        <v>11</v>
      </c>
      <c r="E545" s="29">
        <v>1</v>
      </c>
      <c r="F545" s="17"/>
    </row>
    <row r="546" spans="1:9" ht="25.5" customHeight="1" x14ac:dyDescent="0.2">
      <c r="A546" s="27">
        <v>544</v>
      </c>
      <c r="B546" s="29">
        <v>7064733</v>
      </c>
      <c r="C546" s="29" t="str">
        <f ca="1">IFERROR(__xludf.DUMMYFUNCTION("GOOGLETRANSLATE(C4997,""en"",""hr"")"),"Držač")</f>
        <v>Držač</v>
      </c>
      <c r="D546" s="28" t="s">
        <v>11</v>
      </c>
      <c r="E546" s="29">
        <v>1</v>
      </c>
      <c r="F546" s="17"/>
    </row>
    <row r="547" spans="1:9" ht="25.5" customHeight="1" x14ac:dyDescent="0.2">
      <c r="A547" s="27">
        <v>545</v>
      </c>
      <c r="B547" s="29">
        <v>7064789</v>
      </c>
      <c r="C547" s="29" t="str">
        <f ca="1">IFERROR(__xludf.DUMMYFUNCTION("GOOGLETRANSLATE(C6533,""en"",""hr"")"),"Grommet")</f>
        <v>Grommet</v>
      </c>
      <c r="D547" s="28" t="s">
        <v>11</v>
      </c>
      <c r="E547" s="29">
        <v>1</v>
      </c>
      <c r="F547" s="17"/>
    </row>
    <row r="548" spans="1:9" ht="25.5" customHeight="1" x14ac:dyDescent="0.2">
      <c r="A548" s="27">
        <v>546</v>
      </c>
      <c r="B548" s="29">
        <v>7064822</v>
      </c>
      <c r="C548" s="29" t="str">
        <f ca="1">IFERROR(__xludf.DUMMYFUNCTION("GOOGLETRANSLATE(C4882,""en"",""hr"")"),"Čahura")</f>
        <v>Čahura</v>
      </c>
      <c r="D548" s="28" t="s">
        <v>11</v>
      </c>
      <c r="E548" s="29">
        <v>1</v>
      </c>
      <c r="F548" s="17"/>
      <c r="I548" s="4" t="b">
        <f>INT(F546*100)=(F546*100)</f>
        <v>1</v>
      </c>
    </row>
    <row r="549" spans="1:9" ht="25.5" customHeight="1" x14ac:dyDescent="0.2">
      <c r="A549" s="27">
        <v>547</v>
      </c>
      <c r="B549" s="29">
        <v>7064823</v>
      </c>
      <c r="C549" s="29" t="str">
        <f ca="1">IFERROR(__xludf.DUMMYFUNCTION("GOOGLETRANSLATE(C4881,""en"",""hr"")"),"brava")</f>
        <v>brava</v>
      </c>
      <c r="D549" s="28" t="s">
        <v>11</v>
      </c>
      <c r="E549" s="29">
        <v>1</v>
      </c>
      <c r="F549" s="17"/>
    </row>
    <row r="550" spans="1:9" ht="25.5" customHeight="1" x14ac:dyDescent="0.2">
      <c r="A550" s="27">
        <v>548</v>
      </c>
      <c r="B550" s="29">
        <v>7064850</v>
      </c>
      <c r="C550" s="29" t="str">
        <f ca="1">IFERROR(__xludf.DUMMYFUNCTION("GOOGLETRANSLATE(C4657,""en"",""hr"")"),"Zaštita")</f>
        <v>Zaštita</v>
      </c>
      <c r="D550" s="28" t="s">
        <v>11</v>
      </c>
      <c r="E550" s="29">
        <v>1</v>
      </c>
      <c r="F550" s="17"/>
    </row>
    <row r="551" spans="1:9" ht="25.5" customHeight="1" x14ac:dyDescent="0.2">
      <c r="A551" s="27">
        <v>549</v>
      </c>
      <c r="B551" s="29">
        <v>7064852</v>
      </c>
      <c r="C551" s="29" t="str">
        <f ca="1">IFERROR(__xludf.DUMMYFUNCTION("GOOGLETRANSLATE(C5573,""en"",""hr"")"),"Adapter")</f>
        <v>Adapter</v>
      </c>
      <c r="D551" s="28" t="s">
        <v>11</v>
      </c>
      <c r="E551" s="29">
        <v>1</v>
      </c>
      <c r="F551" s="17"/>
    </row>
    <row r="552" spans="1:9" ht="25.5" customHeight="1" x14ac:dyDescent="0.2">
      <c r="A552" s="27">
        <v>550</v>
      </c>
      <c r="B552" s="29">
        <v>7064853</v>
      </c>
      <c r="C552" s="29" t="str">
        <f ca="1">IFERROR(__xludf.DUMMYFUNCTION("GOOGLETRANSLATE(C5572,""en"",""hr"")"),"Adapter")</f>
        <v>Adapter</v>
      </c>
      <c r="D552" s="28" t="s">
        <v>11</v>
      </c>
      <c r="E552" s="29">
        <v>1</v>
      </c>
      <c r="F552" s="17"/>
    </row>
    <row r="553" spans="1:9" ht="25.5" customHeight="1" x14ac:dyDescent="0.2">
      <c r="A553" s="27">
        <v>551</v>
      </c>
      <c r="B553" s="29">
        <v>7064856</v>
      </c>
      <c r="C553" s="29" t="str">
        <f ca="1">IFERROR(__xludf.DUMMYFUNCTION("GOOGLETRANSLATE(C338,""en"",""hr"")"),"Ploča 1,5 mm")</f>
        <v>Ploča 1,5 mm</v>
      </c>
      <c r="D553" s="28" t="s">
        <v>11</v>
      </c>
      <c r="E553" s="29">
        <v>1</v>
      </c>
      <c r="F553" s="17"/>
    </row>
    <row r="554" spans="1:9" ht="25.5" customHeight="1" x14ac:dyDescent="0.2">
      <c r="A554" s="27">
        <v>552</v>
      </c>
      <c r="B554" s="29">
        <v>7064888</v>
      </c>
      <c r="C554" s="29" t="str">
        <f ca="1">IFERROR(__xludf.DUMMYFUNCTION("GOOGLETRANSLATE(C1482,""en"",""hr"")"),"Rasterećenje naprezanja")</f>
        <v>Rasterećenje naprezanja</v>
      </c>
      <c r="D554" s="28" t="s">
        <v>11</v>
      </c>
      <c r="E554" s="29">
        <v>1</v>
      </c>
      <c r="F554" s="17"/>
    </row>
    <row r="555" spans="1:9" ht="25.5" customHeight="1" x14ac:dyDescent="0.2">
      <c r="A555" s="27">
        <v>553</v>
      </c>
      <c r="B555" s="29">
        <v>7064898</v>
      </c>
      <c r="C555" s="29" t="str">
        <f ca="1">IFERROR(__xludf.DUMMYFUNCTION("GOOGLETRANSLATE(C6312,""en"",""hr"")"),"Ožičenje (+PP-DV)")</f>
        <v>Ožičenje (+PP-DV)</v>
      </c>
      <c r="D555" s="28" t="s">
        <v>11</v>
      </c>
      <c r="E555" s="29">
        <v>1</v>
      </c>
      <c r="F555" s="17"/>
    </row>
    <row r="556" spans="1:9" ht="25.5" customHeight="1" x14ac:dyDescent="0.2">
      <c r="A556" s="27">
        <v>554</v>
      </c>
      <c r="B556" s="29">
        <v>7064899</v>
      </c>
      <c r="C556" s="29" t="str">
        <f ca="1">IFERROR(__xludf.DUMMYFUNCTION("GOOGLETRANSLATE(C963,""en"",""hr"")"),"Držač")</f>
        <v>Držač</v>
      </c>
      <c r="D556" s="28" t="s">
        <v>11</v>
      </c>
      <c r="E556" s="29">
        <v>1</v>
      </c>
      <c r="F556" s="17"/>
    </row>
    <row r="557" spans="1:9" ht="25.5" customHeight="1" x14ac:dyDescent="0.2">
      <c r="A557" s="27">
        <v>555</v>
      </c>
      <c r="B557" s="29">
        <v>7064905</v>
      </c>
      <c r="C557" s="29" t="str">
        <f ca="1">IFERROR(__xludf.DUMMYFUNCTION("GOOGLETRANSLATE(C3077,""en"",""hr"")"),"Usisni poklopac za usta")</f>
        <v>Usisni poklopac za usta</v>
      </c>
      <c r="D557" s="28" t="s">
        <v>11</v>
      </c>
      <c r="E557" s="29">
        <v>1</v>
      </c>
      <c r="F557" s="17"/>
    </row>
    <row r="558" spans="1:9" ht="25.5" customHeight="1" x14ac:dyDescent="0.2">
      <c r="A558" s="27">
        <v>556</v>
      </c>
      <c r="B558" s="29">
        <v>7064912</v>
      </c>
      <c r="C558" s="29" t="str">
        <f ca="1">IFERROR(__xludf.DUMMYFUNCTION("GOOGLETRANSLATE(C3489,""en"",""hr"")"),"Prekidač razine Plivajući prekidač Kpl.")</f>
        <v>Prekidač razine Plivajući prekidač Kpl.</v>
      </c>
      <c r="D558" s="28" t="s">
        <v>11</v>
      </c>
      <c r="E558" s="29">
        <v>1</v>
      </c>
      <c r="F558" s="17"/>
    </row>
    <row r="559" spans="1:9" ht="25.5" customHeight="1" x14ac:dyDescent="0.2">
      <c r="A559" s="27">
        <v>557</v>
      </c>
      <c r="B559" s="29">
        <v>7064913</v>
      </c>
      <c r="C559" s="29" t="str">
        <f ca="1">IFERROR(__xludf.DUMMYFUNCTION("GOOGLETRANSLATE(C4398,""en"",""hr"")"),"Čahura ležaja")</f>
        <v>Čahura ležaja</v>
      </c>
      <c r="D559" s="28" t="s">
        <v>11</v>
      </c>
      <c r="E559" s="29">
        <v>1</v>
      </c>
      <c r="F559" s="17"/>
    </row>
    <row r="560" spans="1:9" ht="25.5" customHeight="1" x14ac:dyDescent="0.2">
      <c r="A560" s="27">
        <v>558</v>
      </c>
      <c r="B560" s="29">
        <v>7064917</v>
      </c>
      <c r="C560" s="29" t="str">
        <f ca="1">IFERROR(__xludf.DUMMYFUNCTION("GOOGLETRANSLATE(C370,""en"",""hr"")"),"Držač")</f>
        <v>Držač</v>
      </c>
      <c r="D560" s="28" t="s">
        <v>11</v>
      </c>
      <c r="E560" s="29">
        <v>1</v>
      </c>
      <c r="F560" s="17"/>
    </row>
    <row r="561" spans="1:9" ht="25.5" customHeight="1" x14ac:dyDescent="0.2">
      <c r="A561" s="27">
        <v>559</v>
      </c>
      <c r="B561" s="29">
        <v>7064918</v>
      </c>
      <c r="C561" s="29" t="str">
        <f ca="1">IFERROR(__xludf.DUMMYFUNCTION("GOOGLETRANSLATE(C369,""en"",""hr"")"),"Držač")</f>
        <v>Držač</v>
      </c>
      <c r="D561" s="28" t="s">
        <v>11</v>
      </c>
      <c r="E561" s="29">
        <v>1</v>
      </c>
      <c r="F561" s="17"/>
    </row>
    <row r="562" spans="1:9" ht="25.5" customHeight="1" x14ac:dyDescent="0.2">
      <c r="A562" s="27">
        <v>560</v>
      </c>
      <c r="B562" s="29">
        <v>7064974</v>
      </c>
      <c r="C562" s="29" t="str">
        <f ca="1">IFERROR(__xludf.DUMMYFUNCTION("GOOGLETRANSLATE(C1485,""en"",""hr"")"),"Podrška alata")</f>
        <v>Podrška alata</v>
      </c>
      <c r="D562" s="28" t="s">
        <v>11</v>
      </c>
      <c r="E562" s="29">
        <v>1</v>
      </c>
      <c r="F562" s="17"/>
    </row>
    <row r="563" spans="1:9" ht="25.5" customHeight="1" x14ac:dyDescent="0.2">
      <c r="A563" s="27">
        <v>561</v>
      </c>
      <c r="B563" s="29">
        <v>7065007</v>
      </c>
      <c r="C563" s="29" t="str">
        <f ca="1">IFERROR(__xludf.DUMMYFUNCTION("GOOGLETRANSLATE(C6015,""en"",""hr"")"),"Visokotlačno crijevo")</f>
        <v>Visokotlačno crijevo</v>
      </c>
      <c r="D563" s="28" t="s">
        <v>11</v>
      </c>
      <c r="E563" s="29">
        <v>1</v>
      </c>
      <c r="F563" s="17"/>
    </row>
    <row r="564" spans="1:9" ht="25.5" customHeight="1" x14ac:dyDescent="0.2">
      <c r="A564" s="27">
        <v>562</v>
      </c>
      <c r="B564" s="29">
        <v>7065008</v>
      </c>
      <c r="C564" s="29" t="str">
        <f ca="1">IFERROR(__xludf.DUMMYFUNCTION("GOOGLETRANSLATE(C6017,""en"",""hr"")"),"Visokotlačno crijevo")</f>
        <v>Visokotlačno crijevo</v>
      </c>
      <c r="D564" s="28" t="s">
        <v>11</v>
      </c>
      <c r="E564" s="29">
        <v>1</v>
      </c>
      <c r="F564" s="17"/>
    </row>
    <row r="565" spans="1:9" ht="25.5" customHeight="1" x14ac:dyDescent="0.2">
      <c r="A565" s="27">
        <v>563</v>
      </c>
      <c r="B565" s="29">
        <v>7065009</v>
      </c>
      <c r="C565" s="29" t="str">
        <f ca="1">IFERROR(__xludf.DUMMYFUNCTION("GOOGLETRANSLATE(C6016,""en"",""hr"")"),"Visokotlačno crijevo")</f>
        <v>Visokotlačno crijevo</v>
      </c>
      <c r="D565" s="28" t="s">
        <v>11</v>
      </c>
      <c r="E565" s="29">
        <v>1</v>
      </c>
      <c r="F565" s="17"/>
    </row>
    <row r="566" spans="1:9" ht="25.5" customHeight="1" x14ac:dyDescent="0.2">
      <c r="A566" s="27">
        <v>564</v>
      </c>
      <c r="B566" s="29">
        <v>7065010</v>
      </c>
      <c r="C566" s="29" t="str">
        <f ca="1">IFERROR(__xludf.DUMMYFUNCTION("GOOGLETRANSLATE(C6018,""en"",""hr"")"),"Visokotlačno crijevo")</f>
        <v>Visokotlačno crijevo</v>
      </c>
      <c r="D566" s="28" t="s">
        <v>11</v>
      </c>
      <c r="E566" s="29">
        <v>1</v>
      </c>
      <c r="F566" s="17"/>
      <c r="I566" s="4" t="b">
        <f>INT(F564*100)=(F564*100)</f>
        <v>1</v>
      </c>
    </row>
    <row r="567" spans="1:9" ht="25.5" customHeight="1" x14ac:dyDescent="0.2">
      <c r="A567" s="27">
        <v>565</v>
      </c>
      <c r="B567" s="29">
        <v>7065023</v>
      </c>
      <c r="C567" s="29" t="str">
        <f ca="1">IFERROR(__xludf.DUMMYFUNCTION("GOOGLETRANSLATE(C5204,""en"",""hr"")"),"Motor brisača")</f>
        <v>Motor brisača</v>
      </c>
      <c r="D567" s="28" t="s">
        <v>11</v>
      </c>
      <c r="E567" s="29">
        <v>1</v>
      </c>
      <c r="F567" s="17"/>
    </row>
    <row r="568" spans="1:9" ht="25.5" customHeight="1" x14ac:dyDescent="0.2">
      <c r="A568" s="27">
        <v>566</v>
      </c>
      <c r="B568" s="29">
        <v>7065036</v>
      </c>
      <c r="C568" s="29" t="str">
        <f ca="1">IFERROR(__xludf.DUMMYFUNCTION("GOOGLETRANSLATE(C329,""en"",""hr"")"),"Držač crijeva na savijenom spoju Cpl.")</f>
        <v>Držač crijeva na savijenom spoju Cpl.</v>
      </c>
      <c r="D568" s="28" t="s">
        <v>11</v>
      </c>
      <c r="E568" s="29">
        <v>1</v>
      </c>
      <c r="F568" s="17"/>
    </row>
    <row r="569" spans="1:9" ht="25.5" customHeight="1" x14ac:dyDescent="0.2">
      <c r="A569" s="27">
        <v>567</v>
      </c>
      <c r="B569" s="29">
        <v>7065096</v>
      </c>
      <c r="C569" s="29" t="str">
        <f ca="1">IFERROR(__xludf.DUMMYFUNCTION("GOOGLETRANSLATE(C770,""en"",""hr"")"),"Zaštita")</f>
        <v>Zaštita</v>
      </c>
      <c r="D569" s="28" t="s">
        <v>11</v>
      </c>
      <c r="E569" s="29">
        <v>1</v>
      </c>
      <c r="F569" s="17"/>
      <c r="I569" s="4" t="b">
        <f>INT(F567*100)=(F567*100)</f>
        <v>1</v>
      </c>
    </row>
    <row r="570" spans="1:9" ht="25.5" customHeight="1" x14ac:dyDescent="0.2">
      <c r="A570" s="27">
        <v>568</v>
      </c>
      <c r="B570" s="29">
        <v>7065132</v>
      </c>
      <c r="C570" s="29" t="str">
        <f ca="1">IFERROR(__xludf.DUMMYFUNCTION("GOOGLETRANSLATE(C412,""en"",""hr"")"),"Gornji poklopac ležaja")</f>
        <v>Gornji poklopac ležaja</v>
      </c>
      <c r="D570" s="28" t="s">
        <v>11</v>
      </c>
      <c r="E570" s="29">
        <v>1</v>
      </c>
      <c r="F570" s="17"/>
    </row>
    <row r="571" spans="1:9" ht="25.5" customHeight="1" x14ac:dyDescent="0.2">
      <c r="A571" s="27">
        <v>569</v>
      </c>
      <c r="B571" s="29">
        <v>7065134</v>
      </c>
      <c r="C571" s="29" t="str">
        <f ca="1">IFERROR(__xludf.DUMMYFUNCTION("GOOGLETRANSLATE(C410,""en"",""hr"")"),"Kapa donjeg ležaja")</f>
        <v>Kapa donjeg ležaja</v>
      </c>
      <c r="D571" s="28" t="s">
        <v>11</v>
      </c>
      <c r="E571" s="29">
        <v>1</v>
      </c>
      <c r="F571" s="17"/>
    </row>
    <row r="572" spans="1:9" ht="25.5" customHeight="1" x14ac:dyDescent="0.2">
      <c r="A572" s="27">
        <v>570</v>
      </c>
      <c r="B572" s="29">
        <v>7065135</v>
      </c>
      <c r="C572" s="29" t="str">
        <f ca="1">IFERROR(__xludf.DUMMYFUNCTION("GOOGLETRANSLATE(C409,""en"",""hr"")"),"Donji ležaj ležaja")</f>
        <v>Donji ležaj ležaja</v>
      </c>
      <c r="D572" s="28" t="s">
        <v>11</v>
      </c>
      <c r="E572" s="29">
        <v>1</v>
      </c>
      <c r="F572" s="17"/>
    </row>
    <row r="573" spans="1:9" ht="25.5" customHeight="1" x14ac:dyDescent="0.2">
      <c r="A573" s="27">
        <v>571</v>
      </c>
      <c r="B573" s="29">
        <v>7065136</v>
      </c>
      <c r="C573" s="29" t="str">
        <f ca="1">IFERROR(__xludf.DUMMYFUNCTION("GOOGLETRANSLATE(C411,""en"",""hr"")"),"Gornji rukavac ležaja")</f>
        <v>Gornji rukavac ležaja</v>
      </c>
      <c r="D573" s="28" t="s">
        <v>11</v>
      </c>
      <c r="E573" s="29">
        <v>1</v>
      </c>
      <c r="F573" s="17"/>
      <c r="I573" s="4" t="b">
        <f>INT(F571*100)=(F571*100)</f>
        <v>1</v>
      </c>
    </row>
    <row r="574" spans="1:9" ht="25.5" customHeight="1" x14ac:dyDescent="0.2">
      <c r="A574" s="27">
        <v>572</v>
      </c>
      <c r="B574" s="29">
        <v>7065157</v>
      </c>
      <c r="C574" s="29" t="str">
        <f ca="1">IFERROR(__xludf.DUMMYFUNCTION("GOOGLETRANSLATE(C1486,""en"",""hr"")"),"Držač")</f>
        <v>Držač</v>
      </c>
      <c r="D574" s="28" t="s">
        <v>11</v>
      </c>
      <c r="E574" s="29">
        <v>1</v>
      </c>
      <c r="F574" s="17"/>
    </row>
    <row r="575" spans="1:9" ht="25.5" customHeight="1" x14ac:dyDescent="0.2">
      <c r="A575" s="27">
        <v>573</v>
      </c>
      <c r="B575" s="29">
        <v>7065160</v>
      </c>
      <c r="C575" s="29" t="str">
        <f ca="1">IFERROR(__xludf.DUMMYFUNCTION("GOOGLETRANSLATE(C39,""en"",""hr"")"),"LED stražnje svjetlo s konektorom")</f>
        <v>LED stražnje svjetlo s konektorom</v>
      </c>
      <c r="D575" s="28" t="s">
        <v>11</v>
      </c>
      <c r="E575" s="29">
        <v>1</v>
      </c>
      <c r="F575" s="17"/>
    </row>
    <row r="576" spans="1:9" ht="25.5" customHeight="1" x14ac:dyDescent="0.2">
      <c r="A576" s="27">
        <v>574</v>
      </c>
      <c r="B576" s="29">
        <v>7065239</v>
      </c>
      <c r="C576" s="29" t="str">
        <f ca="1">IFERROR(__xludf.DUMMYFUNCTION("GOOGLETRANSLATE(C1602,""en"",""hr"")"),"Držač")</f>
        <v>Držač</v>
      </c>
      <c r="D576" s="28" t="s">
        <v>11</v>
      </c>
      <c r="E576" s="29">
        <v>1</v>
      </c>
      <c r="F576" s="17"/>
    </row>
    <row r="577" spans="1:9" ht="25.5" customHeight="1" x14ac:dyDescent="0.2">
      <c r="A577" s="27">
        <v>575</v>
      </c>
      <c r="B577" s="29">
        <v>7065257</v>
      </c>
      <c r="C577" s="29" t="str">
        <f ca="1">IFERROR(__xludf.DUMMYFUNCTION("GOOGLETRANSLATE(C3106,""en"",""hr"")"),"Montažna traka za gumene šarke")</f>
        <v>Montažna traka za gumene šarke</v>
      </c>
      <c r="D577" s="28" t="s">
        <v>11</v>
      </c>
      <c r="E577" s="29">
        <v>1</v>
      </c>
      <c r="F577" s="17"/>
    </row>
    <row r="578" spans="1:9" ht="25.5" customHeight="1" x14ac:dyDescent="0.2">
      <c r="A578" s="27">
        <v>576</v>
      </c>
      <c r="B578" s="29">
        <v>7065264</v>
      </c>
      <c r="C578" s="29" t="str">
        <f ca="1">IFERROR(__xludf.DUMMYFUNCTION("GOOGLETRANSLATE(C5640,""en"",""hr"")"),"Držač")</f>
        <v>Držač</v>
      </c>
      <c r="D578" s="28" t="s">
        <v>11</v>
      </c>
      <c r="E578" s="29">
        <v>1</v>
      </c>
      <c r="F578" s="17"/>
    </row>
    <row r="579" spans="1:9" ht="25.5" customHeight="1" x14ac:dyDescent="0.2">
      <c r="A579" s="27">
        <v>577</v>
      </c>
      <c r="B579" s="29">
        <v>7065266</v>
      </c>
      <c r="C579" s="29" t="str">
        <f ca="1">IFERROR(__xludf.DUMMYFUNCTION("GOOGLETRANSLATE(C6496,""en"",""hr"")"),"Držač")</f>
        <v>Držač</v>
      </c>
      <c r="D579" s="28" t="s">
        <v>11</v>
      </c>
      <c r="E579" s="29">
        <v>1</v>
      </c>
      <c r="F579" s="17"/>
    </row>
    <row r="580" spans="1:9" ht="25.5" customHeight="1" x14ac:dyDescent="0.2">
      <c r="A580" s="27">
        <v>578</v>
      </c>
      <c r="B580" s="29">
        <v>7065336</v>
      </c>
      <c r="C580" s="29" t="str">
        <f ca="1">IFERROR(__xludf.DUMMYFUNCTION("GOOGLETRANSLATE(C6495,""en"",""hr"")"),"Kut")</f>
        <v>Kut</v>
      </c>
      <c r="D580" s="28" t="s">
        <v>11</v>
      </c>
      <c r="E580" s="29">
        <v>1</v>
      </c>
      <c r="F580" s="17"/>
    </row>
    <row r="581" spans="1:9" ht="25.5" customHeight="1" x14ac:dyDescent="0.2">
      <c r="A581" s="27">
        <v>579</v>
      </c>
      <c r="B581" s="29">
        <v>7065355</v>
      </c>
      <c r="C581" s="29" t="str">
        <f ca="1">IFERROR(__xludf.DUMMYFUNCTION("GOOGLETRANSLATE(C6022,""en"",""hr"")"),"Visokotlačno crijevo")</f>
        <v>Visokotlačno crijevo</v>
      </c>
      <c r="D581" s="28" t="s">
        <v>11</v>
      </c>
      <c r="E581" s="29">
        <v>1</v>
      </c>
      <c r="F581" s="17"/>
    </row>
    <row r="582" spans="1:9" ht="25.5" customHeight="1" x14ac:dyDescent="0.2">
      <c r="A582" s="27">
        <v>580</v>
      </c>
      <c r="B582" s="29">
        <v>7065356</v>
      </c>
      <c r="C582" s="29" t="str">
        <f ca="1">IFERROR(__xludf.DUMMYFUNCTION("GOOGLETRANSLATE(C6019,""en"",""hr"")"),"Visokotlačno crijevo")</f>
        <v>Visokotlačno crijevo</v>
      </c>
      <c r="D582" s="28" t="s">
        <v>11</v>
      </c>
      <c r="E582" s="29">
        <v>1</v>
      </c>
      <c r="F582" s="17"/>
    </row>
    <row r="583" spans="1:9" ht="25.5" customHeight="1" x14ac:dyDescent="0.2">
      <c r="A583" s="27">
        <v>581</v>
      </c>
      <c r="B583" s="29">
        <v>7065357</v>
      </c>
      <c r="C583" s="29" t="str">
        <f ca="1">IFERROR(__xludf.DUMMYFUNCTION("GOOGLETRANSLATE(C6021,""en"",""hr"")"),"Visokotlačno crijevo")</f>
        <v>Visokotlačno crijevo</v>
      </c>
      <c r="D583" s="28" t="s">
        <v>11</v>
      </c>
      <c r="E583" s="29">
        <v>1</v>
      </c>
      <c r="F583" s="17"/>
    </row>
    <row r="584" spans="1:9" ht="25.5" customHeight="1" x14ac:dyDescent="0.2">
      <c r="A584" s="27">
        <v>582</v>
      </c>
      <c r="B584" s="29">
        <v>7065358</v>
      </c>
      <c r="C584" s="29" t="str">
        <f ca="1">IFERROR(__xludf.DUMMYFUNCTION("GOOGLETRANSLATE(C6020,""en"",""hr"")"),"Visokotlačno crijevo")</f>
        <v>Visokotlačno crijevo</v>
      </c>
      <c r="D584" s="28" t="s">
        <v>11</v>
      </c>
      <c r="E584" s="29">
        <v>1</v>
      </c>
      <c r="F584" s="17"/>
    </row>
    <row r="585" spans="1:9" ht="25.5" customHeight="1" x14ac:dyDescent="0.2">
      <c r="A585" s="27">
        <v>583</v>
      </c>
      <c r="B585" s="29">
        <v>7065414</v>
      </c>
      <c r="C585" s="29" t="str">
        <f ca="1">IFERROR(__xludf.DUMMYFUNCTION("GOOGLETRANSLATE(C5190,""en"",""hr"")"),"Torba za dijelove")</f>
        <v>Torba za dijelove</v>
      </c>
      <c r="D585" s="28" t="s">
        <v>11</v>
      </c>
      <c r="E585" s="29">
        <v>1</v>
      </c>
      <c r="F585" s="17"/>
    </row>
    <row r="586" spans="1:9" ht="25.5" customHeight="1" x14ac:dyDescent="0.2">
      <c r="A586" s="27">
        <v>584</v>
      </c>
      <c r="B586" s="29">
        <v>7065446</v>
      </c>
      <c r="C586" s="29" t="str">
        <f ca="1">IFERROR(__xludf.DUMMYFUNCTION("GOOGLETRANSLATE(C560,""en"",""hr"")"),"Crijevo")</f>
        <v>Crijevo</v>
      </c>
      <c r="D586" s="28" t="s">
        <v>11</v>
      </c>
      <c r="E586" s="29">
        <v>1</v>
      </c>
      <c r="F586" s="17"/>
    </row>
    <row r="587" spans="1:9" ht="25.5" customHeight="1" x14ac:dyDescent="0.2">
      <c r="A587" s="27">
        <v>585</v>
      </c>
      <c r="B587" s="29">
        <v>7065447</v>
      </c>
      <c r="C587" s="29" t="str">
        <f ca="1">IFERROR(__xludf.DUMMYFUNCTION("GOOGLETRANSLATE(C1552,""en"",""hr"")"),"Držač")</f>
        <v>Držač</v>
      </c>
      <c r="D587" s="28" t="s">
        <v>11</v>
      </c>
      <c r="E587" s="29">
        <v>1</v>
      </c>
      <c r="F587" s="17"/>
    </row>
    <row r="588" spans="1:9" ht="25.5" customHeight="1" x14ac:dyDescent="0.2">
      <c r="A588" s="27">
        <v>586</v>
      </c>
      <c r="B588" s="29">
        <v>7065458</v>
      </c>
      <c r="C588" s="29" t="str">
        <f ca="1">IFERROR(__xludf.DUMMYFUNCTION("GOOGLETRANSLATE(C379,""en"",""hr"")"),"Kotač 255/65 R16, Goodrich")</f>
        <v>Kotač 255/65 R16, Goodrich</v>
      </c>
      <c r="D588" s="28" t="s">
        <v>11</v>
      </c>
      <c r="E588" s="29">
        <v>1</v>
      </c>
      <c r="F588" s="17"/>
    </row>
    <row r="589" spans="1:9" ht="25.5" customHeight="1" x14ac:dyDescent="0.2">
      <c r="A589" s="27">
        <v>587</v>
      </c>
      <c r="B589" s="29">
        <v>7065467</v>
      </c>
      <c r="C589" s="29" t="str">
        <f ca="1">IFERROR(__xludf.DUMMYFUNCTION("GOOGLETRANSLATE(C6332,""en"",""hr"")"),"Pokrivni lim")</f>
        <v>Pokrivni lim</v>
      </c>
      <c r="D589" s="28" t="s">
        <v>11</v>
      </c>
      <c r="E589" s="29">
        <v>1</v>
      </c>
      <c r="F589" s="17"/>
    </row>
    <row r="590" spans="1:9" ht="25.5" customHeight="1" x14ac:dyDescent="0.2">
      <c r="A590" s="27">
        <v>588</v>
      </c>
      <c r="B590" s="29">
        <v>7065471</v>
      </c>
      <c r="C590" s="29" t="str">
        <f ca="1">IFERROR(__xludf.DUMMYFUNCTION("GOOGLETRANSLATE(C6336,""en"",""hr"")"),"brtva")</f>
        <v>brtva</v>
      </c>
      <c r="D590" s="28" t="s">
        <v>11</v>
      </c>
      <c r="E590" s="29">
        <v>1</v>
      </c>
      <c r="F590" s="17"/>
    </row>
    <row r="591" spans="1:9" ht="25.5" customHeight="1" x14ac:dyDescent="0.2">
      <c r="A591" s="27">
        <v>589</v>
      </c>
      <c r="B591" s="29">
        <v>7065475</v>
      </c>
      <c r="C591" s="29" t="str">
        <f ca="1">IFERROR(__xludf.DUMMYFUNCTION("GOOGLETRANSLATE(C5806,""en"",""hr"")"),"brtva")</f>
        <v>brtva</v>
      </c>
      <c r="D591" s="28" t="s">
        <v>11</v>
      </c>
      <c r="E591" s="29">
        <v>1</v>
      </c>
      <c r="F591" s="17"/>
    </row>
    <row r="592" spans="1:9" ht="25.5" customHeight="1" x14ac:dyDescent="0.2">
      <c r="A592" s="27">
        <v>590</v>
      </c>
      <c r="B592" s="29">
        <v>7065488</v>
      </c>
      <c r="C592" s="29" t="str">
        <f ca="1">IFERROR(__xludf.DUMMYFUNCTION("GOOGLETRANSLATE(C1018,""en"",""hr"")"),"Držač")</f>
        <v>Držač</v>
      </c>
      <c r="D592" s="28" t="s">
        <v>11</v>
      </c>
      <c r="E592" s="29">
        <v>1</v>
      </c>
      <c r="F592" s="17"/>
      <c r="I592" s="4" t="b">
        <f>INT(F590*100)=(F590*100)</f>
        <v>1</v>
      </c>
    </row>
    <row r="593" spans="1:9" ht="25.5" customHeight="1" x14ac:dyDescent="0.2">
      <c r="A593" s="27">
        <v>591</v>
      </c>
      <c r="B593" s="29">
        <v>7065496</v>
      </c>
      <c r="C593" s="29" t="str">
        <f ca="1">IFERROR(__xludf.DUMMYFUNCTION("GOOGLETRANSLATE(C1559,""en"",""hr"")"),"Držač")</f>
        <v>Držač</v>
      </c>
      <c r="D593" s="28" t="s">
        <v>11</v>
      </c>
      <c r="E593" s="29">
        <v>1</v>
      </c>
      <c r="F593" s="17"/>
    </row>
    <row r="594" spans="1:9" ht="25.5" customHeight="1" x14ac:dyDescent="0.2">
      <c r="A594" s="27">
        <v>592</v>
      </c>
      <c r="B594" s="29">
        <v>7065498</v>
      </c>
      <c r="C594" s="29" t="str">
        <f ca="1">IFERROR(__xludf.DUMMYFUNCTION("GOOGLETRANSLATE(C998,""en"",""hr"")"),"Montažna ploča")</f>
        <v>Montažna ploča</v>
      </c>
      <c r="D594" s="28" t="s">
        <v>11</v>
      </c>
      <c r="E594" s="29">
        <v>1</v>
      </c>
      <c r="F594" s="17"/>
    </row>
    <row r="595" spans="1:9" ht="25.5" customHeight="1" x14ac:dyDescent="0.2">
      <c r="A595" s="27">
        <v>593</v>
      </c>
      <c r="B595" s="29">
        <v>7065499</v>
      </c>
      <c r="C595" s="29" t="str">
        <f ca="1">IFERROR(__xludf.DUMMYFUNCTION("GOOGLETRANSLATE(C1002,""en"",""hr"")"),"Poklopna ploča")</f>
        <v>Poklopna ploča</v>
      </c>
      <c r="D595" s="28" t="s">
        <v>11</v>
      </c>
      <c r="E595" s="29">
        <v>1</v>
      </c>
      <c r="F595" s="17"/>
      <c r="I595" s="4" t="b">
        <f>INT(F593*100)=(F593*100)</f>
        <v>1</v>
      </c>
    </row>
    <row r="596" spans="1:9" ht="25.5" customHeight="1" x14ac:dyDescent="0.2">
      <c r="A596" s="27">
        <v>594</v>
      </c>
      <c r="B596" s="29">
        <v>7065501</v>
      </c>
      <c r="C596" s="29" t="str">
        <f ca="1">IFERROR(__xludf.DUMMYFUNCTION("GOOGLETRANSLATE(C4991,""en"",""hr"")"),"grijano vjetrobransko staklo")</f>
        <v>grijano vjetrobransko staklo</v>
      </c>
      <c r="D596" s="28" t="s">
        <v>11</v>
      </c>
      <c r="E596" s="29">
        <v>1</v>
      </c>
      <c r="F596" s="17"/>
    </row>
    <row r="597" spans="1:9" ht="25.5" customHeight="1" x14ac:dyDescent="0.2">
      <c r="A597" s="27">
        <v>595</v>
      </c>
      <c r="B597" s="29">
        <v>7065504</v>
      </c>
      <c r="C597" s="29" t="str">
        <f ca="1">IFERROR(__xludf.DUMMYFUNCTION("GOOGLETRANSLATE(C6024,""en"",""hr"")"),"Hidraulično crijevo")</f>
        <v>Hidraulično crijevo</v>
      </c>
      <c r="D597" s="28" t="s">
        <v>11</v>
      </c>
      <c r="E597" s="29">
        <v>1</v>
      </c>
      <c r="F597" s="17"/>
    </row>
    <row r="598" spans="1:9" ht="25.5" customHeight="1" x14ac:dyDescent="0.2">
      <c r="A598" s="27">
        <v>596</v>
      </c>
      <c r="B598" s="29">
        <v>7065521</v>
      </c>
      <c r="C598" s="29" t="str">
        <f ca="1">IFERROR(__xludf.DUMMYFUNCTION("GOOGLETRANSLATE(C5952,""en"",""hr"")"),"Crijevo")</f>
        <v>Crijevo</v>
      </c>
      <c r="D598" s="28" t="s">
        <v>11</v>
      </c>
      <c r="E598" s="29">
        <v>1</v>
      </c>
      <c r="F598" s="17"/>
    </row>
    <row r="599" spans="1:9" ht="25.5" customHeight="1" x14ac:dyDescent="0.2">
      <c r="A599" s="27">
        <v>597</v>
      </c>
      <c r="B599" s="29">
        <v>7065542</v>
      </c>
      <c r="C599" s="29" t="str">
        <f ca="1">IFERROR(__xludf.DUMMYFUNCTION("GOOGLETRANSLATE(C5166,""en"",""hr"")"),"Oplata")</f>
        <v>Oplata</v>
      </c>
      <c r="D599" s="28" t="s">
        <v>11</v>
      </c>
      <c r="E599" s="29">
        <v>1</v>
      </c>
      <c r="F599" s="17"/>
      <c r="I599" s="4" t="b">
        <f>INT(F597*100)=(F597*100)</f>
        <v>1</v>
      </c>
    </row>
    <row r="600" spans="1:9" ht="25.5" customHeight="1" x14ac:dyDescent="0.2">
      <c r="A600" s="27">
        <v>598</v>
      </c>
      <c r="B600" s="29">
        <v>7065547</v>
      </c>
      <c r="C600" s="29" t="str">
        <f ca="1">IFERROR(__xludf.DUMMYFUNCTION("GOOGLETRANSLATE(C1556,""en"",""hr"")"),"Držač")</f>
        <v>Držač</v>
      </c>
      <c r="D600" s="28" t="s">
        <v>11</v>
      </c>
      <c r="E600" s="29">
        <v>1</v>
      </c>
      <c r="F600" s="17"/>
    </row>
    <row r="601" spans="1:9" ht="25.5" customHeight="1" x14ac:dyDescent="0.2">
      <c r="A601" s="27">
        <v>599</v>
      </c>
      <c r="B601" s="29">
        <v>7065575</v>
      </c>
      <c r="C601" s="29" t="str">
        <f ca="1">IFERROR(__xludf.DUMMYFUNCTION("GOOGLETRANSLATE(C3351,""en"",""hr"")"),"Držač")</f>
        <v>Držač</v>
      </c>
      <c r="D601" s="28" t="s">
        <v>11</v>
      </c>
      <c r="E601" s="29">
        <v>1</v>
      </c>
      <c r="F601" s="17"/>
    </row>
    <row r="602" spans="1:9" ht="25.5" customHeight="1" x14ac:dyDescent="0.2">
      <c r="A602" s="27">
        <v>600</v>
      </c>
      <c r="B602" s="29">
        <v>7065591</v>
      </c>
      <c r="C602" s="29" t="str">
        <f ca="1">IFERROR(__xludf.DUMMYFUNCTION("GOOGLETRANSLATE(C3350,""en"",""hr"")"),"Držač")</f>
        <v>Držač</v>
      </c>
      <c r="D602" s="28" t="s">
        <v>11</v>
      </c>
      <c r="E602" s="29">
        <v>1</v>
      </c>
      <c r="F602" s="17"/>
    </row>
    <row r="603" spans="1:9" ht="25.5" customHeight="1" x14ac:dyDescent="0.2">
      <c r="A603" s="27">
        <v>601</v>
      </c>
      <c r="B603" s="29">
        <v>7065618</v>
      </c>
      <c r="C603" s="29" t="str">
        <f ca="1">IFERROR(__xludf.DUMMYFUNCTION("GOOGLETRANSLATE(C1572,""en"",""hr"")"),"Rasterećenje naprezanja")</f>
        <v>Rasterećenje naprezanja</v>
      </c>
      <c r="D603" s="28" t="s">
        <v>11</v>
      </c>
      <c r="E603" s="29">
        <v>1</v>
      </c>
      <c r="F603" s="17"/>
    </row>
    <row r="604" spans="1:9" ht="25.5" customHeight="1" x14ac:dyDescent="0.2">
      <c r="A604" s="27">
        <v>602</v>
      </c>
      <c r="B604" s="29">
        <v>7065619</v>
      </c>
      <c r="C604" s="29" t="str">
        <f ca="1">IFERROR(__xludf.DUMMYFUNCTION("GOOGLETRANSLATE(C3352,""en"",""hr"")"),"Okvir")</f>
        <v>Okvir</v>
      </c>
      <c r="D604" s="28" t="s">
        <v>11</v>
      </c>
      <c r="E604" s="29">
        <v>1</v>
      </c>
      <c r="F604" s="17"/>
    </row>
    <row r="605" spans="1:9" ht="25.5" customHeight="1" x14ac:dyDescent="0.2">
      <c r="A605" s="27">
        <v>603</v>
      </c>
      <c r="B605" s="29">
        <v>7065629</v>
      </c>
      <c r="C605" s="29" t="str">
        <f ca="1">IFERROR(__xludf.DUMMYFUNCTION("GOOGLETRANSLATE(C561,""en"",""hr"")"),"Akumulator")</f>
        <v>Akumulator</v>
      </c>
      <c r="D605" s="28" t="s">
        <v>11</v>
      </c>
      <c r="E605" s="29">
        <v>1</v>
      </c>
      <c r="F605" s="17"/>
    </row>
    <row r="606" spans="1:9" ht="25.5" customHeight="1" x14ac:dyDescent="0.2">
      <c r="A606" s="27">
        <v>604</v>
      </c>
      <c r="B606" s="29">
        <v>7065651</v>
      </c>
      <c r="C606" s="29" t="str">
        <f ca="1">IFERROR(__xludf.DUMMYFUNCTION("GOOGLETRANSLATE(C4597,""en"",""hr"")"),"Hidraulično crijevo")</f>
        <v>Hidraulično crijevo</v>
      </c>
      <c r="D606" s="28" t="s">
        <v>11</v>
      </c>
      <c r="E606" s="29">
        <v>1</v>
      </c>
      <c r="F606" s="17"/>
    </row>
    <row r="607" spans="1:9" ht="25.5" customHeight="1" x14ac:dyDescent="0.2">
      <c r="A607" s="27">
        <v>605</v>
      </c>
      <c r="B607" s="29">
        <v>7065661</v>
      </c>
      <c r="C607" s="29" t="str">
        <f ca="1">IFERROR(__xludf.DUMMYFUNCTION("GOOGLETRANSLATE(C4111,""en"",""hr"")"),"Crijevo")</f>
        <v>Crijevo</v>
      </c>
      <c r="D607" s="28" t="s">
        <v>11</v>
      </c>
      <c r="E607" s="29">
        <v>1</v>
      </c>
      <c r="F607" s="17"/>
    </row>
    <row r="608" spans="1:9" ht="25.5" customHeight="1" x14ac:dyDescent="0.2">
      <c r="A608" s="27">
        <v>606</v>
      </c>
      <c r="B608" s="29">
        <v>7065662</v>
      </c>
      <c r="C608" s="29" t="str">
        <f ca="1">IFERROR(__xludf.DUMMYFUNCTION("GOOGLETRANSLATE(C4110,""en"",""hr"")"),"Crijevo")</f>
        <v>Crijevo</v>
      </c>
      <c r="D608" s="28" t="s">
        <v>11</v>
      </c>
      <c r="E608" s="29">
        <v>1</v>
      </c>
      <c r="F608" s="17"/>
    </row>
    <row r="609" spans="1:9" ht="25.5" customHeight="1" x14ac:dyDescent="0.2">
      <c r="A609" s="27">
        <v>607</v>
      </c>
      <c r="B609" s="29">
        <v>7065667</v>
      </c>
      <c r="C609" s="29" t="str">
        <f ca="1">IFERROR(__xludf.DUMMYFUNCTION("GOOGLETRANSLATE(C3941,""en"",""hr"")"),"Cijev")</f>
        <v>Cijev</v>
      </c>
      <c r="D609" s="28" t="s">
        <v>11</v>
      </c>
      <c r="E609" s="29">
        <v>1</v>
      </c>
      <c r="F609" s="17"/>
    </row>
    <row r="610" spans="1:9" ht="25.5" customHeight="1" x14ac:dyDescent="0.2">
      <c r="A610" s="27">
        <v>608</v>
      </c>
      <c r="B610" s="29">
        <v>7065689</v>
      </c>
      <c r="C610" s="29" t="str">
        <f ca="1">IFERROR(__xludf.DUMMYFUNCTION("GOOGLETRANSLATE(C4607,""en"",""hr"")"),"Crijevo")</f>
        <v>Crijevo</v>
      </c>
      <c r="D610" s="28" t="s">
        <v>11</v>
      </c>
      <c r="E610" s="29">
        <v>1</v>
      </c>
      <c r="F610" s="17"/>
    </row>
    <row r="611" spans="1:9" ht="25.5" customHeight="1" x14ac:dyDescent="0.2">
      <c r="A611" s="27">
        <v>609</v>
      </c>
      <c r="B611" s="29">
        <v>7065760</v>
      </c>
      <c r="C611" s="29" t="str">
        <f ca="1">IFERROR(__xludf.DUMMYFUNCTION("GOOGLETRANSLATE(C6542,""en"",""hr"")"),"Držač")</f>
        <v>Držač</v>
      </c>
      <c r="D611" s="28" t="s">
        <v>11</v>
      </c>
      <c r="E611" s="29">
        <v>1</v>
      </c>
      <c r="F611" s="17"/>
    </row>
    <row r="612" spans="1:9" ht="25.5" customHeight="1" x14ac:dyDescent="0.2">
      <c r="A612" s="27">
        <v>610</v>
      </c>
      <c r="B612" s="29">
        <v>7065764</v>
      </c>
      <c r="C612" s="29" t="str">
        <f ca="1">IFERROR(__xludf.DUMMYFUNCTION("GOOGLETRANSLATE(C3936,""en"",""hr"")"),"Potporna ploča")</f>
        <v>Potporna ploča</v>
      </c>
      <c r="D612" s="28" t="s">
        <v>11</v>
      </c>
      <c r="E612" s="29">
        <v>1</v>
      </c>
      <c r="F612" s="17"/>
    </row>
    <row r="613" spans="1:9" ht="25.5" customHeight="1" x14ac:dyDescent="0.2">
      <c r="A613" s="27">
        <v>611</v>
      </c>
      <c r="B613" s="29">
        <v>7065765</v>
      </c>
      <c r="C613" s="29" t="str">
        <f ca="1">IFERROR(__xludf.DUMMYFUNCTION("GOOGLETRANSLATE(C4118,""en"",""hr"")"),"Držač")</f>
        <v>Držač</v>
      </c>
      <c r="D613" s="28" t="s">
        <v>11</v>
      </c>
      <c r="E613" s="29">
        <v>1</v>
      </c>
      <c r="F613" s="17"/>
    </row>
    <row r="614" spans="1:9" ht="25.5" customHeight="1" x14ac:dyDescent="0.2">
      <c r="A614" s="27">
        <v>612</v>
      </c>
      <c r="B614" s="29">
        <v>7065800</v>
      </c>
      <c r="C614" s="29" t="str">
        <f ca="1">IFERROR(__xludf.DUMMYFUNCTION("GOOGLETRANSLATE(C3370,""en"",""hr"")"),"Zalutajuće crijevo")</f>
        <v>Zalutajuće crijevo</v>
      </c>
      <c r="D614" s="28" t="s">
        <v>11</v>
      </c>
      <c r="E614" s="29">
        <v>1</v>
      </c>
      <c r="F614" s="17"/>
    </row>
    <row r="615" spans="1:9" ht="25.5" customHeight="1" x14ac:dyDescent="0.2">
      <c r="A615" s="27">
        <v>613</v>
      </c>
      <c r="B615" s="29">
        <v>7065806</v>
      </c>
      <c r="C615" s="29" t="str">
        <f ca="1">IFERROR(__xludf.DUMMYFUNCTION("GOOGLETRANSLATE(C3940,""en"",""hr"")"),"Crijevo")</f>
        <v>Crijevo</v>
      </c>
      <c r="D615" s="28" t="s">
        <v>11</v>
      </c>
      <c r="E615" s="29">
        <v>1</v>
      </c>
      <c r="F615" s="17"/>
    </row>
    <row r="616" spans="1:9" ht="25.5" customHeight="1" x14ac:dyDescent="0.2">
      <c r="A616" s="27">
        <v>614</v>
      </c>
      <c r="B616" s="29">
        <v>7065807</v>
      </c>
      <c r="C616" s="29" t="str">
        <f ca="1">IFERROR(__xludf.DUMMYFUNCTION("GOOGLETRANSLATE(C3939,""en"",""hr"")"),"Crijevo")</f>
        <v>Crijevo</v>
      </c>
      <c r="D616" s="28" t="s">
        <v>11</v>
      </c>
      <c r="E616" s="29">
        <v>1</v>
      </c>
      <c r="F616" s="17"/>
    </row>
    <row r="617" spans="1:9" ht="25.5" customHeight="1" x14ac:dyDescent="0.2">
      <c r="A617" s="27">
        <v>615</v>
      </c>
      <c r="B617" s="29">
        <v>7065863</v>
      </c>
      <c r="C617" s="29" t="str">
        <f ca="1">IFERROR(__xludf.DUMMYFUNCTION("GOOGLETRANSLATE(C6010,""en"",""hr"")"),"Ploča za pričvršćivanje")</f>
        <v>Ploča za pričvršćivanje</v>
      </c>
      <c r="D617" s="28" t="s">
        <v>11</v>
      </c>
      <c r="E617" s="29">
        <v>1</v>
      </c>
      <c r="F617" s="17"/>
      <c r="I617" s="4" t="b">
        <f>INT(F615*100)=(F615*100)</f>
        <v>1</v>
      </c>
    </row>
    <row r="618" spans="1:9" ht="25.5" customHeight="1" x14ac:dyDescent="0.2">
      <c r="A618" s="27">
        <v>616</v>
      </c>
      <c r="B618" s="29">
        <v>7065865</v>
      </c>
      <c r="C618" s="29" t="str">
        <f ca="1">IFERROR(__xludf.DUMMYFUNCTION("GOOGLETRANSLATE(C3094,""en"",""hr"")"),"Usisna usta pokrovne ploče")</f>
        <v>Usisna usta pokrovne ploče</v>
      </c>
      <c r="D618" s="28" t="s">
        <v>11</v>
      </c>
      <c r="E618" s="29">
        <v>1</v>
      </c>
      <c r="F618" s="17"/>
    </row>
    <row r="619" spans="1:9" ht="25.5" customHeight="1" x14ac:dyDescent="0.2">
      <c r="A619" s="27">
        <v>617</v>
      </c>
      <c r="B619" s="29">
        <v>7065872</v>
      </c>
      <c r="C619" s="29" t="str">
        <f ca="1">IFERROR(__xludf.DUMMYFUNCTION("GOOGLETRANSLATE(C941,""en"",""hr"")"),"Toplinski štit")</f>
        <v>Toplinski štit</v>
      </c>
      <c r="D619" s="28" t="s">
        <v>11</v>
      </c>
      <c r="E619" s="29">
        <v>1</v>
      </c>
      <c r="F619" s="17"/>
    </row>
    <row r="620" spans="1:9" ht="25.5" customHeight="1" x14ac:dyDescent="0.2">
      <c r="A620" s="27">
        <v>618</v>
      </c>
      <c r="B620" s="29">
        <v>7065886</v>
      </c>
      <c r="C620" s="29" t="str">
        <f ca="1">IFERROR(__xludf.DUMMYFUNCTION("GOOGLETRANSLATE(C3937,""en"",""hr"")"),"Crijevo")</f>
        <v>Crijevo</v>
      </c>
      <c r="D620" s="28" t="s">
        <v>11</v>
      </c>
      <c r="E620" s="29">
        <v>1</v>
      </c>
      <c r="F620" s="17"/>
      <c r="I620" s="4" t="b">
        <f>INT(F618*100)=(F618*100)</f>
        <v>1</v>
      </c>
    </row>
    <row r="621" spans="1:9" ht="25.5" customHeight="1" x14ac:dyDescent="0.2">
      <c r="A621" s="27">
        <v>619</v>
      </c>
      <c r="B621" s="29">
        <v>7065922</v>
      </c>
      <c r="C621" s="29" t="str">
        <f ca="1">IFERROR(__xludf.DUMMYFUNCTION("GOOGLETRANSLATE(C4589,""en"",""hr"")"),"Ručna pumpa: poluga s ručkom")</f>
        <v>Ručna pumpa: poluga s ručkom</v>
      </c>
      <c r="D621" s="28" t="s">
        <v>11</v>
      </c>
      <c r="E621" s="29">
        <v>1</v>
      </c>
      <c r="F621" s="17"/>
    </row>
    <row r="622" spans="1:9" ht="25.5" customHeight="1" x14ac:dyDescent="0.2">
      <c r="A622" s="27">
        <v>620</v>
      </c>
      <c r="B622" s="29">
        <v>7065948</v>
      </c>
      <c r="C622" s="29" t="str">
        <f ca="1">IFERROR(__xludf.DUMMYFUNCTION("GOOGLETRANSLATE(C291,""en"",""hr"")"),"Pristup gazištu")</f>
        <v>Pristup gazištu</v>
      </c>
      <c r="D622" s="28" t="s">
        <v>11</v>
      </c>
      <c r="E622" s="29">
        <v>1</v>
      </c>
      <c r="F622" s="17"/>
    </row>
    <row r="623" spans="1:9" ht="25.5" customHeight="1" x14ac:dyDescent="0.2">
      <c r="A623" s="27">
        <v>621</v>
      </c>
      <c r="B623" s="29">
        <v>7065974</v>
      </c>
      <c r="C623" s="29" t="str">
        <f ca="1">IFERROR(__xludf.DUMMYFUNCTION("GOOGLETRANSLATE(C5521,""en"",""hr"")"),"Zaštita")</f>
        <v>Zaštita</v>
      </c>
      <c r="D623" s="28" t="s">
        <v>11</v>
      </c>
      <c r="E623" s="29">
        <v>1</v>
      </c>
      <c r="F623" s="17"/>
    </row>
    <row r="624" spans="1:9" ht="25.5" customHeight="1" x14ac:dyDescent="0.2">
      <c r="A624" s="27">
        <v>622</v>
      </c>
      <c r="B624" s="29">
        <v>7065975</v>
      </c>
      <c r="C624" s="29" t="str">
        <f ca="1">IFERROR(__xludf.DUMMYFUNCTION("GOOGLETRANSLATE(C5545,""en"",""hr"")"),"Zaštita")</f>
        <v>Zaštita</v>
      </c>
      <c r="D624" s="28" t="s">
        <v>11</v>
      </c>
      <c r="E624" s="29">
        <v>1</v>
      </c>
      <c r="F624" s="17"/>
      <c r="I624" s="4" t="b">
        <f>INT(F622*100)=(F622*100)</f>
        <v>1</v>
      </c>
    </row>
    <row r="625" spans="1:6" ht="25.5" customHeight="1" x14ac:dyDescent="0.2">
      <c r="A625" s="27">
        <v>623</v>
      </c>
      <c r="B625" s="29">
        <v>7066061</v>
      </c>
      <c r="C625" s="29" t="str">
        <f ca="1">IFERROR(__xludf.DUMMYFUNCTION("GOOGLETRANSLATE(C970,""en"",""hr"")"),"Poklopac")</f>
        <v>Poklopac</v>
      </c>
      <c r="D625" s="28" t="s">
        <v>11</v>
      </c>
      <c r="E625" s="29">
        <v>1</v>
      </c>
      <c r="F625" s="17"/>
    </row>
    <row r="626" spans="1:6" ht="25.5" customHeight="1" x14ac:dyDescent="0.2">
      <c r="A626" s="27">
        <v>624</v>
      </c>
      <c r="B626" s="29">
        <v>7066063</v>
      </c>
      <c r="C626" s="29" t="str">
        <f ca="1">IFERROR(__xludf.DUMMYFUNCTION("GOOGLETRANSLATE(C971,""en"",""hr"")"),"Držač")</f>
        <v>Držač</v>
      </c>
      <c r="D626" s="28" t="s">
        <v>11</v>
      </c>
      <c r="E626" s="29">
        <v>1</v>
      </c>
      <c r="F626" s="17"/>
    </row>
    <row r="627" spans="1:6" ht="25.5" customHeight="1" x14ac:dyDescent="0.2">
      <c r="A627" s="27">
        <v>625</v>
      </c>
      <c r="B627" s="29">
        <v>7066065</v>
      </c>
      <c r="C627" s="29" t="str">
        <f ca="1">IFERROR(__xludf.DUMMYFUNCTION("GOOGLETRANSLATE(C535,""en"",""hr"")"),"Ventil ručne kočnice")</f>
        <v>Ventil ručne kočnice</v>
      </c>
      <c r="D627" s="28" t="s">
        <v>11</v>
      </c>
      <c r="E627" s="29">
        <v>1</v>
      </c>
      <c r="F627" s="17"/>
    </row>
    <row r="628" spans="1:6" ht="25.5" customHeight="1" x14ac:dyDescent="0.2">
      <c r="A628" s="27">
        <v>626</v>
      </c>
      <c r="B628" s="29">
        <v>7066082</v>
      </c>
      <c r="C628" s="29" t="str">
        <f ca="1">IFERROR(__xludf.DUMMYFUNCTION("GOOGLETRANSLATE(C887,""en"",""hr"")"),"Metalni lim")</f>
        <v>Metalni lim</v>
      </c>
      <c r="D628" s="28" t="s">
        <v>11</v>
      </c>
      <c r="E628" s="29">
        <v>1</v>
      </c>
      <c r="F628" s="17"/>
    </row>
    <row r="629" spans="1:6" ht="25.5" customHeight="1" x14ac:dyDescent="0.2">
      <c r="A629" s="27">
        <v>627</v>
      </c>
      <c r="B629" s="29">
        <v>7066112</v>
      </c>
      <c r="C629" s="29" t="str">
        <f ca="1">IFERROR(__xludf.DUMMYFUNCTION("GOOGLETRANSLATE(C4660,""en"",""hr"")"),"brava")</f>
        <v>brava</v>
      </c>
      <c r="D629" s="28" t="s">
        <v>11</v>
      </c>
      <c r="E629" s="29">
        <v>1</v>
      </c>
      <c r="F629" s="17"/>
    </row>
    <row r="630" spans="1:6" ht="25.5" customHeight="1" x14ac:dyDescent="0.2">
      <c r="A630" s="27">
        <v>628</v>
      </c>
      <c r="B630" s="29">
        <v>7066115</v>
      </c>
      <c r="C630" s="29" t="str">
        <f ca="1">IFERROR(__xludf.DUMMYFUNCTION("GOOGLETRANSLATE(C4683,""en"",""hr"")"),"Disk udaljenosti")</f>
        <v>Disk udaljenosti</v>
      </c>
      <c r="D630" s="28" t="s">
        <v>11</v>
      </c>
      <c r="E630" s="29">
        <v>1</v>
      </c>
      <c r="F630" s="17"/>
    </row>
    <row r="631" spans="1:6" ht="25.5" customHeight="1" x14ac:dyDescent="0.2">
      <c r="A631" s="27">
        <v>629</v>
      </c>
      <c r="B631" s="29">
        <v>7066121</v>
      </c>
      <c r="C631" s="29" t="str">
        <f ca="1">IFERROR(__xludf.DUMMYFUNCTION("GOOGLETRANSLATE(C6036,""en"",""hr"")"),"Cijev")</f>
        <v>Cijev</v>
      </c>
      <c r="D631" s="28" t="s">
        <v>11</v>
      </c>
      <c r="E631" s="29">
        <v>1</v>
      </c>
      <c r="F631" s="17"/>
    </row>
    <row r="632" spans="1:6" ht="25.5" customHeight="1" x14ac:dyDescent="0.2">
      <c r="A632" s="27">
        <v>630</v>
      </c>
      <c r="B632" s="29">
        <v>7066124</v>
      </c>
      <c r="C632" s="29" t="str">
        <f ca="1">IFERROR(__xludf.DUMMYFUNCTION("GOOGLETRANSLATE(C1202,""en"",""hr"")"),"Poklopac")</f>
        <v>Poklopac</v>
      </c>
      <c r="D632" s="28" t="s">
        <v>11</v>
      </c>
      <c r="E632" s="29">
        <v>1</v>
      </c>
      <c r="F632" s="17"/>
    </row>
    <row r="633" spans="1:6" ht="25.5" customHeight="1" x14ac:dyDescent="0.2">
      <c r="A633" s="27">
        <v>631</v>
      </c>
      <c r="B633" s="29">
        <v>7066127</v>
      </c>
      <c r="C633" s="29" t="str">
        <f ca="1">IFERROR(__xludf.DUMMYFUNCTION("GOOGLETRANSLATE(C1199,""en"",""hr"")"),"Držač")</f>
        <v>Držač</v>
      </c>
      <c r="D633" s="28" t="s">
        <v>11</v>
      </c>
      <c r="E633" s="29">
        <v>1</v>
      </c>
      <c r="F633" s="17"/>
    </row>
    <row r="634" spans="1:6" ht="25.5" customHeight="1" x14ac:dyDescent="0.2">
      <c r="A634" s="27">
        <v>632</v>
      </c>
      <c r="B634" s="29">
        <v>7066134</v>
      </c>
      <c r="C634" s="29" t="str">
        <f ca="1">IFERROR(__xludf.DUMMYFUNCTION("GOOGLETRANSLATE(C5427,""en"",""hr"")"),"Naslon za ruke")</f>
        <v>Naslon za ruke</v>
      </c>
      <c r="D634" s="28" t="s">
        <v>11</v>
      </c>
      <c r="E634" s="29">
        <v>1</v>
      </c>
      <c r="F634" s="17"/>
    </row>
    <row r="635" spans="1:6" ht="25.5" customHeight="1" x14ac:dyDescent="0.2">
      <c r="A635" s="27">
        <v>633</v>
      </c>
      <c r="B635" s="29">
        <v>7066136</v>
      </c>
      <c r="C635" s="29" t="str">
        <f ca="1">IFERROR(__xludf.DUMMYFUNCTION("GOOGLETRANSLATE(C5443,""en"",""hr"")"),"Naslon za glavu")</f>
        <v>Naslon za glavu</v>
      </c>
      <c r="D635" s="28" t="s">
        <v>11</v>
      </c>
      <c r="E635" s="29">
        <v>1</v>
      </c>
      <c r="F635" s="17"/>
    </row>
    <row r="636" spans="1:6" ht="25.5" customHeight="1" x14ac:dyDescent="0.2">
      <c r="A636" s="27">
        <v>634</v>
      </c>
      <c r="B636" s="29">
        <v>7066157</v>
      </c>
      <c r="C636" s="29" t="str">
        <f ca="1">IFERROR(__xludf.DUMMYFUNCTION("GOOGLETRANSLATE(C5278,""en"",""hr"")"),"Supporto")</f>
        <v>Supporto</v>
      </c>
      <c r="D636" s="28" t="s">
        <v>11</v>
      </c>
      <c r="E636" s="29">
        <v>1</v>
      </c>
      <c r="F636" s="17"/>
    </row>
    <row r="637" spans="1:6" ht="25.5" customHeight="1" x14ac:dyDescent="0.2">
      <c r="A637" s="27">
        <v>635</v>
      </c>
      <c r="B637" s="29">
        <v>7066160</v>
      </c>
      <c r="C637" s="29" t="str">
        <f ca="1">IFERROR(__xludf.DUMMYFUNCTION("GOOGLETRANSLATE(C5432,""en"",""hr"")"),"Tračnice")</f>
        <v>Tračnice</v>
      </c>
      <c r="D637" s="28" t="s">
        <v>11</v>
      </c>
      <c r="E637" s="29">
        <v>1</v>
      </c>
      <c r="F637" s="17"/>
    </row>
    <row r="638" spans="1:6" ht="25.5" customHeight="1" x14ac:dyDescent="0.2">
      <c r="A638" s="27">
        <v>636</v>
      </c>
      <c r="B638" s="29">
        <v>7066161</v>
      </c>
      <c r="C638" s="29" t="str">
        <f ca="1">IFERROR(__xludf.DUMMYFUNCTION("GOOGLETRANSLATE(C5433,""en"",""hr"")"),"Pneumatski set opruga")</f>
        <v>Pneumatski set opruga</v>
      </c>
      <c r="D638" s="28" t="s">
        <v>11</v>
      </c>
      <c r="E638" s="29">
        <v>1</v>
      </c>
      <c r="F638" s="17"/>
    </row>
    <row r="639" spans="1:6" ht="25.5" customHeight="1" x14ac:dyDescent="0.2">
      <c r="A639" s="27">
        <v>637</v>
      </c>
      <c r="B639" s="29">
        <v>7066163</v>
      </c>
      <c r="C639" s="29" t="str">
        <f ca="1">IFERROR(__xludf.DUMMYFUNCTION("GOOGLETRANSLATE(C5431,""en"",""hr"")"),"Set opruga mehanički")</f>
        <v>Set opruga mehanički</v>
      </c>
      <c r="D639" s="28" t="s">
        <v>11</v>
      </c>
      <c r="E639" s="29">
        <v>1</v>
      </c>
      <c r="F639" s="17"/>
    </row>
    <row r="640" spans="1:6" ht="25.5" customHeight="1" x14ac:dyDescent="0.2">
      <c r="A640" s="27">
        <v>638</v>
      </c>
      <c r="B640" s="29">
        <v>7066166</v>
      </c>
      <c r="C640" s="29" t="str">
        <f ca="1">IFERROR(__xludf.DUMMYFUNCTION("GOOGLETRANSLATE(C5439,""en"",""hr"")"),"Suvozačevo sjedalo")</f>
        <v>Suvozačevo sjedalo</v>
      </c>
      <c r="D640" s="28" t="s">
        <v>11</v>
      </c>
      <c r="E640" s="29">
        <v>1</v>
      </c>
      <c r="F640" s="17"/>
    </row>
    <row r="641" spans="1:9" ht="25.5" customHeight="1" x14ac:dyDescent="0.2">
      <c r="A641" s="27">
        <v>639</v>
      </c>
      <c r="B641" s="29">
        <v>7066168</v>
      </c>
      <c r="C641" s="29" t="str">
        <f ca="1">IFERROR(__xludf.DUMMYFUNCTION("GOOGLETRANSLATE(C5279,""en"",""hr"")"),"Supporto")</f>
        <v>Supporto</v>
      </c>
      <c r="D641" s="28" t="s">
        <v>11</v>
      </c>
      <c r="E641" s="29">
        <v>1</v>
      </c>
      <c r="F641" s="17"/>
    </row>
    <row r="642" spans="1:9" ht="25.5" customHeight="1" x14ac:dyDescent="0.2">
      <c r="A642" s="27">
        <v>640</v>
      </c>
      <c r="B642" s="29">
        <v>7066173</v>
      </c>
      <c r="C642" s="29" t="str">
        <f ca="1">IFERROR(__xludf.DUMMYFUNCTION("GOOGLETRANSLATE(C801,""en"",""hr"")"),"Držač")</f>
        <v>Držač</v>
      </c>
      <c r="D642" s="28" t="s">
        <v>11</v>
      </c>
      <c r="E642" s="29">
        <v>1</v>
      </c>
      <c r="F642" s="17"/>
    </row>
    <row r="643" spans="1:9" ht="25.5" customHeight="1" x14ac:dyDescent="0.2">
      <c r="A643" s="27">
        <v>641</v>
      </c>
      <c r="B643" s="29">
        <v>7066195</v>
      </c>
      <c r="C643" s="29" t="str">
        <f ca="1">IFERROR(__xludf.DUMMYFUNCTION("GOOGLETRANSLATE(C5436,""en"",""hr"")"),"Okvir sjedala za suvozačko sjedalo")</f>
        <v>Okvir sjedala za suvozačko sjedalo</v>
      </c>
      <c r="D643" s="28" t="s">
        <v>11</v>
      </c>
      <c r="E643" s="29">
        <v>1</v>
      </c>
      <c r="F643" s="17"/>
      <c r="I643" s="4" t="b">
        <f>INT(F641*100)=(F641*100)</f>
        <v>1</v>
      </c>
    </row>
    <row r="644" spans="1:9" ht="25.5" customHeight="1" x14ac:dyDescent="0.2">
      <c r="A644" s="27">
        <v>642</v>
      </c>
      <c r="B644" s="29">
        <v>7066208</v>
      </c>
      <c r="C644" s="29" t="str">
        <f ca="1">IFERROR(__xludf.DUMMYFUNCTION("GOOGLETRANSLATE(C6082,""en"",""hr"")"),"Hidraulično crijevo")</f>
        <v>Hidraulično crijevo</v>
      </c>
      <c r="D644" s="28" t="s">
        <v>11</v>
      </c>
      <c r="E644" s="29">
        <v>1</v>
      </c>
      <c r="F644" s="17"/>
    </row>
    <row r="645" spans="1:9" ht="25.5" customHeight="1" x14ac:dyDescent="0.2">
      <c r="A645" s="27">
        <v>643</v>
      </c>
      <c r="B645" s="29">
        <v>7066213</v>
      </c>
      <c r="C645" s="29" t="str">
        <f ca="1">IFERROR(__xludf.DUMMYFUNCTION("GOOGLETRANSLATE(C5151,""en"",""hr"")"),"Zaštita")</f>
        <v>Zaštita</v>
      </c>
      <c r="D645" s="28" t="s">
        <v>11</v>
      </c>
      <c r="E645" s="29">
        <v>1</v>
      </c>
      <c r="F645" s="17"/>
    </row>
    <row r="646" spans="1:9" ht="25.5" customHeight="1" x14ac:dyDescent="0.2">
      <c r="A646" s="27">
        <v>644</v>
      </c>
      <c r="B646" s="29">
        <v>7066215</v>
      </c>
      <c r="C646" s="29" t="str">
        <f ca="1">IFERROR(__xludf.DUMMYFUNCTION("GOOGLETRANSLATE(C6083,""en"",""hr"")"),"Hidraulično crijevo")</f>
        <v>Hidraulično crijevo</v>
      </c>
      <c r="D646" s="28" t="s">
        <v>11</v>
      </c>
      <c r="E646" s="29">
        <v>1</v>
      </c>
      <c r="F646" s="17"/>
      <c r="I646" s="4" t="b">
        <f>INT(F644*100)=(F644*100)</f>
        <v>1</v>
      </c>
    </row>
    <row r="647" spans="1:9" ht="25.5" customHeight="1" x14ac:dyDescent="0.2">
      <c r="A647" s="27">
        <v>645</v>
      </c>
      <c r="B647" s="29">
        <v>7066216</v>
      </c>
      <c r="C647" s="29" t="str">
        <f ca="1">IFERROR(__xludf.DUMMYFUNCTION("GOOGLETRANSLATE(C5153,""en"",""hr"")"),"Rešetka")</f>
        <v>Rešetka</v>
      </c>
      <c r="D647" s="28" t="s">
        <v>11</v>
      </c>
      <c r="E647" s="29">
        <v>1</v>
      </c>
      <c r="F647" s="17"/>
    </row>
    <row r="648" spans="1:9" ht="25.5" customHeight="1" x14ac:dyDescent="0.2">
      <c r="A648" s="27">
        <v>646</v>
      </c>
      <c r="B648" s="29">
        <v>7066231</v>
      </c>
      <c r="C648" s="29" t="str">
        <f ca="1">IFERROR(__xludf.DUMMYFUNCTION("GOOGLETRANSLATE(C832,""en"",""hr"")"),"Metalni lim")</f>
        <v>Metalni lim</v>
      </c>
      <c r="D648" s="28" t="s">
        <v>11</v>
      </c>
      <c r="E648" s="29">
        <v>1</v>
      </c>
      <c r="F648" s="17"/>
    </row>
    <row r="649" spans="1:9" ht="25.5" customHeight="1" x14ac:dyDescent="0.2">
      <c r="A649" s="27">
        <v>647</v>
      </c>
      <c r="B649" s="29">
        <v>7066301</v>
      </c>
      <c r="C649" s="29" t="str">
        <f ca="1">IFERROR(__xludf.DUMMYFUNCTION("GOOGLETRANSLATE(C4717,""en"",""hr"")"),"Korice, bijele, ljepljene")</f>
        <v>Korice, bijele, ljepljene</v>
      </c>
      <c r="D649" s="28" t="s">
        <v>11</v>
      </c>
      <c r="E649" s="29">
        <v>1</v>
      </c>
      <c r="F649" s="17"/>
    </row>
    <row r="650" spans="1:9" ht="25.5" customHeight="1" x14ac:dyDescent="0.2">
      <c r="A650" s="27">
        <v>648</v>
      </c>
      <c r="B650" s="29">
        <v>7066347</v>
      </c>
      <c r="C650" s="29" t="str">
        <f ca="1">IFERROR(__xludf.DUMMYFUNCTION("GOOGLETRANSLATE(C656,""en"",""hr"")"),"Držač ispod")</f>
        <v>Držač ispod</v>
      </c>
      <c r="D650" s="28" t="s">
        <v>11</v>
      </c>
      <c r="E650" s="29">
        <v>1</v>
      </c>
      <c r="F650" s="17"/>
      <c r="I650" s="4" t="b">
        <f>INT(F648*100)=(F648*100)</f>
        <v>1</v>
      </c>
    </row>
    <row r="651" spans="1:9" ht="25.5" customHeight="1" x14ac:dyDescent="0.2">
      <c r="A651" s="27">
        <v>649</v>
      </c>
      <c r="B651" s="29">
        <v>7066360</v>
      </c>
      <c r="C651" s="29" t="str">
        <f ca="1">IFERROR(__xludf.DUMMYFUNCTION("GOOGLETRANSLATE(C5290,""en"",""hr"")"),"Grub Srew")</f>
        <v>Grub Srew</v>
      </c>
      <c r="D651" s="28" t="s">
        <v>11</v>
      </c>
      <c r="E651" s="29">
        <v>1</v>
      </c>
      <c r="F651" s="17"/>
    </row>
    <row r="652" spans="1:9" ht="25.5" customHeight="1" x14ac:dyDescent="0.2">
      <c r="A652" s="27">
        <v>650</v>
      </c>
      <c r="B652" s="29">
        <v>7066399</v>
      </c>
      <c r="C652" s="29" t="str">
        <f ca="1">IFERROR(__xludf.DUMMYFUNCTION("GOOGLETRANSLATE(C6035,""en"",""hr"")"),"Hidraulično crijevo")</f>
        <v>Hidraulično crijevo</v>
      </c>
      <c r="D652" s="28" t="s">
        <v>11</v>
      </c>
      <c r="E652" s="29">
        <v>1</v>
      </c>
      <c r="F652" s="17"/>
    </row>
    <row r="653" spans="1:9" ht="25.5" customHeight="1" x14ac:dyDescent="0.2">
      <c r="A653" s="27">
        <v>651</v>
      </c>
      <c r="B653" s="29">
        <v>7066401</v>
      </c>
      <c r="C653" s="29" t="str">
        <f ca="1">IFERROR(__xludf.DUMMYFUNCTION("GOOGLETRANSLATE(C6038,""en"",""hr"")"),"Hidraulično crijevo")</f>
        <v>Hidraulično crijevo</v>
      </c>
      <c r="D653" s="28" t="s">
        <v>11</v>
      </c>
      <c r="E653" s="29">
        <v>1</v>
      </c>
      <c r="F653" s="17"/>
    </row>
    <row r="654" spans="1:9" ht="25.5" customHeight="1" x14ac:dyDescent="0.2">
      <c r="A654" s="27">
        <v>652</v>
      </c>
      <c r="B654" s="29">
        <v>7066429</v>
      </c>
      <c r="C654" s="29" t="str">
        <f ca="1">IFERROR(__xludf.DUMMYFUNCTION("GOOGLETRANSLATE(C3772,""en"",""hr"")"),"Supporto")</f>
        <v>Supporto</v>
      </c>
      <c r="D654" s="28" t="s">
        <v>11</v>
      </c>
      <c r="E654" s="29">
        <v>1</v>
      </c>
      <c r="F654" s="17"/>
    </row>
    <row r="655" spans="1:9" ht="25.5" customHeight="1" x14ac:dyDescent="0.2">
      <c r="A655" s="27">
        <v>653</v>
      </c>
      <c r="B655" s="29">
        <v>7066448</v>
      </c>
      <c r="C655" s="29" t="str">
        <f ca="1">IFERROR(__xludf.DUMMYFUNCTION("GOOGLETRANSLATE(C64,""en"",""hr"")"),"Amortizer")</f>
        <v>Amortizer</v>
      </c>
      <c r="D655" s="28" t="s">
        <v>11</v>
      </c>
      <c r="E655" s="29">
        <v>1</v>
      </c>
      <c r="F655" s="17"/>
    </row>
    <row r="656" spans="1:9" ht="25.5" customHeight="1" x14ac:dyDescent="0.2">
      <c r="A656" s="27">
        <v>654</v>
      </c>
      <c r="B656" s="29">
        <v>7066454</v>
      </c>
      <c r="C656" s="29" t="str">
        <f ca="1">IFERROR(__xludf.DUMMYFUNCTION("GOOGLETRANSLATE(C4956,""en"",""hr"")"),"Zaštita lijevo")</f>
        <v>Zaštita lijevo</v>
      </c>
      <c r="D656" s="28" t="s">
        <v>11</v>
      </c>
      <c r="E656" s="29">
        <v>1</v>
      </c>
      <c r="F656" s="17"/>
    </row>
    <row r="657" spans="1:9" ht="25.5" customHeight="1" x14ac:dyDescent="0.2">
      <c r="A657" s="27">
        <v>655</v>
      </c>
      <c r="B657" s="29">
        <v>7066455</v>
      </c>
      <c r="C657" s="29" t="str">
        <f ca="1">IFERROR(__xludf.DUMMYFUNCTION("GOOGLETRANSLATE(C4953,""en"",""hr"")"),"Zaštita na desnoj strani")</f>
        <v>Zaštita na desnoj strani</v>
      </c>
      <c r="D657" s="28" t="s">
        <v>11</v>
      </c>
      <c r="E657" s="29">
        <v>1</v>
      </c>
      <c r="F657" s="17"/>
    </row>
    <row r="658" spans="1:9" ht="25.5" customHeight="1" x14ac:dyDescent="0.2">
      <c r="A658" s="27">
        <v>656</v>
      </c>
      <c r="B658" s="29">
        <v>7066462</v>
      </c>
      <c r="C658" s="29" t="str">
        <f ca="1">IFERROR(__xludf.DUMMYFUNCTION("GOOGLETRANSLATE(C190,""en"",""hr"")"),"Crijevo za zrak punjenja hladnjak motora")</f>
        <v>Crijevo za zrak punjenja hladnjak motora</v>
      </c>
      <c r="D658" s="28" t="s">
        <v>11</v>
      </c>
      <c r="E658" s="29">
        <v>1</v>
      </c>
      <c r="F658" s="17"/>
    </row>
    <row r="659" spans="1:9" ht="25.5" customHeight="1" x14ac:dyDescent="0.2">
      <c r="A659" s="27">
        <v>657</v>
      </c>
      <c r="B659" s="29">
        <v>7066505</v>
      </c>
      <c r="C659" s="29" t="str">
        <f ca="1">IFERROR(__xludf.DUMMYFUNCTION("GOOGLETRANSLATE(C4719,""en"",""hr"")"),"Zaštita")</f>
        <v>Zaštita</v>
      </c>
      <c r="D659" s="28" t="s">
        <v>11</v>
      </c>
      <c r="E659" s="29">
        <v>1</v>
      </c>
      <c r="F659" s="17"/>
    </row>
    <row r="660" spans="1:9" ht="25.5" customHeight="1" x14ac:dyDescent="0.2">
      <c r="A660" s="27">
        <v>658</v>
      </c>
      <c r="B660" s="29">
        <v>7066506</v>
      </c>
      <c r="C660" s="29" t="str">
        <f ca="1">IFERROR(__xludf.DUMMYFUNCTION("GOOGLETRANSLATE(C4728,""en"",""hr"")"),"Zaštita")</f>
        <v>Zaštita</v>
      </c>
      <c r="D660" s="28" t="s">
        <v>11</v>
      </c>
      <c r="E660" s="29">
        <v>1</v>
      </c>
      <c r="F660" s="17"/>
    </row>
    <row r="661" spans="1:9" ht="25.5" customHeight="1" x14ac:dyDescent="0.2">
      <c r="A661" s="27">
        <v>659</v>
      </c>
      <c r="B661" s="29">
        <v>7066507</v>
      </c>
      <c r="C661" s="29" t="str">
        <f ca="1">IFERROR(__xludf.DUMMYFUNCTION("GOOGLETRANSLATE(C4718,""en"",""hr"")"),"Zaštita")</f>
        <v>Zaštita</v>
      </c>
      <c r="D661" s="28" t="s">
        <v>11</v>
      </c>
      <c r="E661" s="29">
        <v>1</v>
      </c>
      <c r="F661" s="17"/>
    </row>
    <row r="662" spans="1:9" ht="25.5" customHeight="1" x14ac:dyDescent="0.2">
      <c r="A662" s="27">
        <v>660</v>
      </c>
      <c r="B662" s="29">
        <v>7066508</v>
      </c>
      <c r="C662" s="29" t="str">
        <f ca="1">IFERROR(__xludf.DUMMYFUNCTION("GOOGLETRANSLATE(C4727,""en"",""hr"")"),"Zaštita")</f>
        <v>Zaštita</v>
      </c>
      <c r="D662" s="28" t="s">
        <v>11</v>
      </c>
      <c r="E662" s="29">
        <v>1</v>
      </c>
      <c r="F662" s="17"/>
    </row>
    <row r="663" spans="1:9" ht="25.5" customHeight="1" x14ac:dyDescent="0.2">
      <c r="A663" s="27">
        <v>661</v>
      </c>
      <c r="B663" s="29">
        <v>7066509</v>
      </c>
      <c r="C663" s="29" t="str">
        <f ca="1">IFERROR(__xludf.DUMMYFUNCTION("GOOGLETRANSLATE(C4725,""en"",""hr"")"),"Šipka, bijela")</f>
        <v>Šipka, bijela</v>
      </c>
      <c r="D663" s="28" t="s">
        <v>11</v>
      </c>
      <c r="E663" s="29">
        <v>1</v>
      </c>
      <c r="F663" s="17"/>
    </row>
    <row r="664" spans="1:9" ht="25.5" customHeight="1" x14ac:dyDescent="0.2">
      <c r="A664" s="27">
        <v>662</v>
      </c>
      <c r="B664" s="29">
        <v>7066525</v>
      </c>
      <c r="C664" s="29" t="str">
        <f ca="1">IFERROR(__xludf.DUMMYFUNCTION("GOOGLETRANSLATE(C3082,""en"",""hr"")"),"Četka za trake LH")</f>
        <v>Četka za trake LH</v>
      </c>
      <c r="D664" s="28" t="s">
        <v>11</v>
      </c>
      <c r="E664" s="29">
        <v>1</v>
      </c>
      <c r="F664" s="17"/>
    </row>
    <row r="665" spans="1:9" ht="25.5" customHeight="1" x14ac:dyDescent="0.2">
      <c r="A665" s="27">
        <v>663</v>
      </c>
      <c r="B665" s="29">
        <v>7066526</v>
      </c>
      <c r="C665" s="29" t="str">
        <f ca="1">IFERROR(__xludf.DUMMYFUNCTION("GOOGLETRANSLATE(C3083,""en"",""hr"")"),"Četka za trake RH")</f>
        <v>Četka za trake RH</v>
      </c>
      <c r="D665" s="28" t="s">
        <v>11</v>
      </c>
      <c r="E665" s="29">
        <v>1</v>
      </c>
      <c r="F665" s="17"/>
    </row>
    <row r="666" spans="1:9" ht="25.5" customHeight="1" x14ac:dyDescent="0.2">
      <c r="A666" s="27">
        <v>664</v>
      </c>
      <c r="B666" s="29">
        <v>7066565</v>
      </c>
      <c r="C666" s="29" t="str">
        <f ca="1">IFERROR(__xludf.DUMMYFUNCTION("GOOGLETRANSLATE(C930,""en"",""hr"")"),"Motor")</f>
        <v>Motor</v>
      </c>
      <c r="D666" s="28" t="s">
        <v>11</v>
      </c>
      <c r="E666" s="29">
        <v>1</v>
      </c>
      <c r="F666" s="17"/>
    </row>
    <row r="667" spans="1:9" ht="25.5" customHeight="1" x14ac:dyDescent="0.2">
      <c r="A667" s="27">
        <v>665</v>
      </c>
      <c r="B667" s="29">
        <v>7066608</v>
      </c>
      <c r="C667" s="29" t="str">
        <f ca="1">IFERROR(__xludf.DUMMYFUNCTION("GOOGLETRANSLATE(C1028,""en"",""hr"")"),"Držač")</f>
        <v>Držač</v>
      </c>
      <c r="D667" s="28" t="s">
        <v>11</v>
      </c>
      <c r="E667" s="29">
        <v>1</v>
      </c>
      <c r="F667" s="17"/>
    </row>
    <row r="668" spans="1:9" ht="25.5" customHeight="1" x14ac:dyDescent="0.2">
      <c r="A668" s="27">
        <v>666</v>
      </c>
      <c r="B668" s="29">
        <v>7066610</v>
      </c>
      <c r="C668" s="29" t="str">
        <f ca="1">IFERROR(__xludf.DUMMYFUNCTION("GOOGLETRANSLATE(C2006,""en"",""hr"")"),"Restriktor")</f>
        <v>Restriktor</v>
      </c>
      <c r="D668" s="28" t="s">
        <v>11</v>
      </c>
      <c r="E668" s="29">
        <v>1</v>
      </c>
      <c r="F668" s="17"/>
      <c r="I668" s="4" t="b">
        <f>INT(F666*100)=(F666*100)</f>
        <v>1</v>
      </c>
    </row>
    <row r="669" spans="1:9" ht="25.5" customHeight="1" x14ac:dyDescent="0.2">
      <c r="A669" s="27">
        <v>667</v>
      </c>
      <c r="B669" s="29">
        <v>7066616</v>
      </c>
      <c r="C669" s="29" t="str">
        <f ca="1">IFERROR(__xludf.DUMMYFUNCTION("GOOGLETRANSLATE(C771,""en"",""hr"")"),"Zaštita")</f>
        <v>Zaštita</v>
      </c>
      <c r="D669" s="28" t="s">
        <v>11</v>
      </c>
      <c r="E669" s="29">
        <v>1</v>
      </c>
      <c r="F669" s="17"/>
    </row>
    <row r="670" spans="1:9" ht="25.5" customHeight="1" x14ac:dyDescent="0.2">
      <c r="A670" s="27">
        <v>668</v>
      </c>
      <c r="B670" s="29">
        <v>7066634</v>
      </c>
      <c r="C670" s="29" t="str">
        <f ca="1">IFERROR(__xludf.DUMMYFUNCTION("GOOGLETRANSLATE(C961,""en"",""hr"")"),"Motor")</f>
        <v>Motor</v>
      </c>
      <c r="D670" s="28" t="s">
        <v>11</v>
      </c>
      <c r="E670" s="29">
        <v>1</v>
      </c>
      <c r="F670" s="17"/>
    </row>
    <row r="671" spans="1:9" ht="25.5" customHeight="1" x14ac:dyDescent="0.2">
      <c r="A671" s="27">
        <v>669</v>
      </c>
      <c r="B671" s="29">
        <v>7066658</v>
      </c>
      <c r="C671" s="29" t="str">
        <f ca="1">IFERROR(__xludf.DUMMYFUNCTION("GOOGLETRANSLATE(C1614,""en"",""hr"")"),"Metalni lim")</f>
        <v>Metalni lim</v>
      </c>
      <c r="D671" s="28" t="s">
        <v>11</v>
      </c>
      <c r="E671" s="29">
        <v>1</v>
      </c>
      <c r="F671" s="17"/>
      <c r="I671" s="4" t="b">
        <f>INT(F669*100)=(F669*100)</f>
        <v>1</v>
      </c>
    </row>
    <row r="672" spans="1:9" ht="25.5" customHeight="1" x14ac:dyDescent="0.2">
      <c r="A672" s="27">
        <v>670</v>
      </c>
      <c r="B672" s="29">
        <v>7066666</v>
      </c>
      <c r="C672" s="29" t="str">
        <f ca="1">IFERROR(__xludf.DUMMYFUNCTION("GOOGLETRANSLATE(C3629,""en"",""hr"")"),"Cijev")</f>
        <v>Cijev</v>
      </c>
      <c r="D672" s="28" t="s">
        <v>11</v>
      </c>
      <c r="E672" s="29">
        <v>1</v>
      </c>
      <c r="F672" s="17"/>
    </row>
    <row r="673" spans="1:9" ht="25.5" customHeight="1" x14ac:dyDescent="0.2">
      <c r="A673" s="27">
        <v>671</v>
      </c>
      <c r="B673" s="29">
        <v>7066667</v>
      </c>
      <c r="C673" s="29" t="str">
        <f ca="1">IFERROR(__xludf.DUMMYFUNCTION("GOOGLETRANSLATE(C2146,""en"",""hr"")"),"Cijev")</f>
        <v>Cijev</v>
      </c>
      <c r="D673" s="28" t="s">
        <v>11</v>
      </c>
      <c r="E673" s="29">
        <v>1</v>
      </c>
      <c r="F673" s="17"/>
    </row>
    <row r="674" spans="1:9" ht="25.5" customHeight="1" x14ac:dyDescent="0.2">
      <c r="A674" s="27">
        <v>672</v>
      </c>
      <c r="B674" s="29">
        <v>7066691</v>
      </c>
      <c r="C674" s="29" t="str">
        <f ca="1">IFERROR(__xludf.DUMMYFUNCTION("GOOGLETRANSLATE(C6233,""en"",""hr"")"),"Cijev")</f>
        <v>Cijev</v>
      </c>
      <c r="D674" s="28" t="s">
        <v>11</v>
      </c>
      <c r="E674" s="29">
        <v>1</v>
      </c>
      <c r="F674" s="17"/>
    </row>
    <row r="675" spans="1:9" ht="25.5" customHeight="1" x14ac:dyDescent="0.2">
      <c r="A675" s="27">
        <v>673</v>
      </c>
      <c r="B675" s="29">
        <v>7066713</v>
      </c>
      <c r="C675" s="29" t="str">
        <f ca="1">IFERROR(__xludf.DUMMYFUNCTION("GOOGLETRANSLATE(C5137,""en"",""hr"")"),"Žmigavac LED")</f>
        <v>Žmigavac LED</v>
      </c>
      <c r="D675" s="28" t="s">
        <v>11</v>
      </c>
      <c r="E675" s="29">
        <v>1</v>
      </c>
      <c r="F675" s="17"/>
      <c r="I675" s="4" t="b">
        <f>INT(F673*100)=(F673*100)</f>
        <v>1</v>
      </c>
    </row>
    <row r="676" spans="1:9" ht="25.5" customHeight="1" x14ac:dyDescent="0.2">
      <c r="A676" s="27">
        <v>674</v>
      </c>
      <c r="B676" s="29">
        <v>7066728</v>
      </c>
      <c r="C676" s="29" t="str">
        <f ca="1">IFERROR(__xludf.DUMMYFUNCTION("GOOGLETRANSLATE(C6319,""en"",""hr"")"),"Ploča")</f>
        <v>Ploča</v>
      </c>
      <c r="D676" s="28" t="s">
        <v>11</v>
      </c>
      <c r="E676" s="29">
        <v>1</v>
      </c>
      <c r="F676" s="17"/>
    </row>
    <row r="677" spans="1:9" ht="25.5" customHeight="1" x14ac:dyDescent="0.2">
      <c r="A677" s="27">
        <v>675</v>
      </c>
      <c r="B677" s="29">
        <v>7066732</v>
      </c>
      <c r="C677" s="29" t="str">
        <f ca="1">IFERROR(__xludf.DUMMYFUNCTION("GOOGLETRANSLATE(C5130,""en"",""hr"")"),"Držač")</f>
        <v>Držač</v>
      </c>
      <c r="D677" s="28" t="s">
        <v>11</v>
      </c>
      <c r="E677" s="29">
        <v>1</v>
      </c>
      <c r="F677" s="17"/>
    </row>
    <row r="678" spans="1:9" ht="25.5" customHeight="1" x14ac:dyDescent="0.2">
      <c r="A678" s="27">
        <v>676</v>
      </c>
      <c r="B678" s="29">
        <v>7066733</v>
      </c>
      <c r="C678" s="29" t="str">
        <f ca="1">IFERROR(__xludf.DUMMYFUNCTION("GOOGLETRANSLATE(C5129,""en"",""hr"")"),"Držač")</f>
        <v>Držač</v>
      </c>
      <c r="D678" s="28" t="s">
        <v>11</v>
      </c>
      <c r="E678" s="29">
        <v>1</v>
      </c>
      <c r="F678" s="17"/>
    </row>
    <row r="679" spans="1:9" ht="25.5" customHeight="1" x14ac:dyDescent="0.2">
      <c r="A679" s="27">
        <v>677</v>
      </c>
      <c r="B679" s="29">
        <v>7066750</v>
      </c>
      <c r="C679" s="29" t="str">
        <f ca="1">IFERROR(__xludf.DUMMYFUNCTION("GOOGLETRANSLATE(C6076,""en"",""hr"")"),"Cijev")</f>
        <v>Cijev</v>
      </c>
      <c r="D679" s="28" t="s">
        <v>11</v>
      </c>
      <c r="E679" s="29">
        <v>1</v>
      </c>
      <c r="F679" s="17"/>
    </row>
    <row r="680" spans="1:9" ht="25.5" customHeight="1" x14ac:dyDescent="0.2">
      <c r="A680" s="27">
        <v>678</v>
      </c>
      <c r="B680" s="29">
        <v>7066755</v>
      </c>
      <c r="C680" s="29" t="str">
        <f ca="1">IFERROR(__xludf.DUMMYFUNCTION("GOOGLETRANSLATE(C468,""en"",""hr"")"),"Potrošna ploča")</f>
        <v>Potrošna ploča</v>
      </c>
      <c r="D680" s="28" t="s">
        <v>11</v>
      </c>
      <c r="E680" s="29">
        <v>1</v>
      </c>
      <c r="F680" s="17"/>
    </row>
    <row r="681" spans="1:9" ht="25.5" customHeight="1" x14ac:dyDescent="0.2">
      <c r="A681" s="27">
        <v>679</v>
      </c>
      <c r="B681" s="29">
        <v>7066756</v>
      </c>
      <c r="C681" s="29" t="str">
        <f ca="1">IFERROR(__xludf.DUMMYFUNCTION("GOOGLETRANSLATE(C469,""en"",""hr"")"),"Potrošna ploča")</f>
        <v>Potrošna ploča</v>
      </c>
      <c r="D681" s="28" t="s">
        <v>11</v>
      </c>
      <c r="E681" s="29">
        <v>1</v>
      </c>
      <c r="F681" s="17"/>
    </row>
    <row r="682" spans="1:9" ht="25.5" customHeight="1" x14ac:dyDescent="0.2">
      <c r="A682" s="27">
        <v>680</v>
      </c>
      <c r="B682" s="29">
        <v>7066767</v>
      </c>
      <c r="C682" s="29" t="str">
        <f ca="1">IFERROR(__xludf.DUMMYFUNCTION("GOOGLETRANSLATE(C5440,""en"",""hr"")"),"Pojas")</f>
        <v>Pojas</v>
      </c>
      <c r="D682" s="28" t="s">
        <v>11</v>
      </c>
      <c r="E682" s="29">
        <v>1</v>
      </c>
      <c r="F682" s="17"/>
    </row>
    <row r="683" spans="1:9" ht="25.5" customHeight="1" x14ac:dyDescent="0.2">
      <c r="A683" s="27">
        <v>681</v>
      </c>
      <c r="B683" s="29">
        <v>7066768</v>
      </c>
      <c r="C683" s="29" t="str">
        <f ca="1">IFERROR(__xludf.DUMMYFUNCTION("GOOGLETRANSLATE(C562,""en"",""hr"")"),"Kočioni vod")</f>
        <v>Kočioni vod</v>
      </c>
      <c r="D683" s="28" t="s">
        <v>11</v>
      </c>
      <c r="E683" s="29">
        <v>1</v>
      </c>
      <c r="F683" s="17"/>
    </row>
    <row r="684" spans="1:9" ht="25.5" customHeight="1" x14ac:dyDescent="0.2">
      <c r="A684" s="27">
        <v>682</v>
      </c>
      <c r="B684" s="29">
        <v>7066769</v>
      </c>
      <c r="C684" s="29" t="str">
        <f ca="1">IFERROR(__xludf.DUMMYFUNCTION("GOOGLETRANSLATE(C76,""en"",""hr"")"),"Sweeping Guard")</f>
        <v>Sweeping Guard</v>
      </c>
      <c r="D684" s="28" t="s">
        <v>11</v>
      </c>
      <c r="E684" s="29">
        <v>1</v>
      </c>
      <c r="F684" s="17"/>
    </row>
    <row r="685" spans="1:9" ht="25.5" customHeight="1" x14ac:dyDescent="0.2">
      <c r="A685" s="27">
        <v>683</v>
      </c>
      <c r="B685" s="29">
        <v>7066772</v>
      </c>
      <c r="C685" s="29" t="str">
        <f ca="1">IFERROR(__xludf.DUMMYFUNCTION("GOOGLETRANSLATE(C536,""en"",""hr"")"),"Crijevo")</f>
        <v>Crijevo</v>
      </c>
      <c r="D685" s="28" t="s">
        <v>11</v>
      </c>
      <c r="E685" s="29">
        <v>1</v>
      </c>
      <c r="F685" s="17"/>
    </row>
    <row r="686" spans="1:9" ht="25.5" customHeight="1" x14ac:dyDescent="0.2">
      <c r="A686" s="27">
        <v>684</v>
      </c>
      <c r="B686" s="29">
        <v>7066773</v>
      </c>
      <c r="C686" s="29" t="str">
        <f ca="1">IFERROR(__xludf.DUMMYFUNCTION("GOOGLETRANSLATE(C538,""en"",""hr"")"),"Crijevo")</f>
        <v>Crijevo</v>
      </c>
      <c r="D686" s="28" t="s">
        <v>11</v>
      </c>
      <c r="E686" s="29">
        <v>1</v>
      </c>
      <c r="F686" s="17"/>
    </row>
    <row r="687" spans="1:9" ht="25.5" customHeight="1" x14ac:dyDescent="0.2">
      <c r="A687" s="27">
        <v>685</v>
      </c>
      <c r="B687" s="29">
        <v>7066774</v>
      </c>
      <c r="C687" s="29" t="str">
        <f ca="1">IFERROR(__xludf.DUMMYFUNCTION("GOOGLETRANSLATE(C5905,""en"",""hr"")"),"Hidraulično crijevo")</f>
        <v>Hidraulično crijevo</v>
      </c>
      <c r="D687" s="28" t="s">
        <v>11</v>
      </c>
      <c r="E687" s="29">
        <v>1</v>
      </c>
      <c r="F687" s="17"/>
    </row>
    <row r="688" spans="1:9" ht="25.5" customHeight="1" x14ac:dyDescent="0.2">
      <c r="A688" s="27">
        <v>686</v>
      </c>
      <c r="B688" s="29">
        <v>7066775</v>
      </c>
      <c r="C688" s="29" t="str">
        <f ca="1">IFERROR(__xludf.DUMMYFUNCTION("GOOGLETRANSLATE(C5906,""en"",""hr"")"),"Crijevo")</f>
        <v>Crijevo</v>
      </c>
      <c r="D688" s="28" t="s">
        <v>11</v>
      </c>
      <c r="E688" s="29">
        <v>1</v>
      </c>
      <c r="F688" s="17"/>
    </row>
    <row r="689" spans="1:9" ht="25.5" customHeight="1" x14ac:dyDescent="0.2">
      <c r="A689" s="27">
        <v>687</v>
      </c>
      <c r="B689" s="29">
        <v>7066776</v>
      </c>
      <c r="C689" s="29" t="str">
        <f ca="1">IFERROR(__xludf.DUMMYFUNCTION("GOOGLETRANSLATE(C5907,""en"",""hr"")"),"Cijev za kapanje ulja")</f>
        <v>Cijev za kapanje ulja</v>
      </c>
      <c r="D689" s="28" t="s">
        <v>11</v>
      </c>
      <c r="E689" s="29">
        <v>1</v>
      </c>
      <c r="F689" s="17"/>
    </row>
    <row r="690" spans="1:9" ht="25.5" customHeight="1" x14ac:dyDescent="0.2">
      <c r="A690" s="27">
        <v>688</v>
      </c>
      <c r="B690" s="29">
        <v>7066778</v>
      </c>
      <c r="C690" s="29" t="str">
        <f ca="1">IFERROR(__xludf.DUMMYFUNCTION("GOOGLETRANSLATE(C5908,""en"",""hr"")"),"Crijevo")</f>
        <v>Crijevo</v>
      </c>
      <c r="D690" s="28" t="s">
        <v>11</v>
      </c>
      <c r="E690" s="29">
        <v>1</v>
      </c>
      <c r="F690" s="17"/>
    </row>
    <row r="691" spans="1:9" ht="25.5" customHeight="1" x14ac:dyDescent="0.2">
      <c r="A691" s="27">
        <v>689</v>
      </c>
      <c r="B691" s="29">
        <v>7066787</v>
      </c>
      <c r="C691" s="29" t="str">
        <f ca="1">IFERROR(__xludf.DUMMYFUNCTION("GOOGLETRANSLATE(C5994,""en"",""hr"")"),"Hidraulično crijevo")</f>
        <v>Hidraulično crijevo</v>
      </c>
      <c r="D691" s="28" t="s">
        <v>11</v>
      </c>
      <c r="E691" s="29">
        <v>1</v>
      </c>
      <c r="F691" s="17"/>
    </row>
    <row r="692" spans="1:9" ht="25.5" customHeight="1" x14ac:dyDescent="0.2">
      <c r="A692" s="27">
        <v>690</v>
      </c>
      <c r="B692" s="29">
        <v>7066790</v>
      </c>
      <c r="C692" s="29" t="str">
        <f ca="1">IFERROR(__xludf.DUMMYFUNCTION("GOOGLETRANSLATE(C5995,""en"",""hr"")"),"Hidraulično crijevo")</f>
        <v>Hidraulično crijevo</v>
      </c>
      <c r="D692" s="28" t="s">
        <v>11</v>
      </c>
      <c r="E692" s="29">
        <v>1</v>
      </c>
      <c r="F692" s="17"/>
    </row>
    <row r="693" spans="1:9" ht="25.5" customHeight="1" x14ac:dyDescent="0.2">
      <c r="A693" s="27">
        <v>691</v>
      </c>
      <c r="B693" s="29">
        <v>7066800</v>
      </c>
      <c r="C693" s="29" t="str">
        <f ca="1">IFERROR(__xludf.DUMMYFUNCTION("GOOGLETRANSLATE(C5996,""en"",""hr"")"),"Hidraulično crijevo")</f>
        <v>Hidraulično crijevo</v>
      </c>
      <c r="D693" s="28" t="s">
        <v>11</v>
      </c>
      <c r="E693" s="29">
        <v>1</v>
      </c>
      <c r="F693" s="17"/>
    </row>
    <row r="694" spans="1:9" ht="25.5" customHeight="1" x14ac:dyDescent="0.2">
      <c r="A694" s="27">
        <v>692</v>
      </c>
      <c r="B694" s="29">
        <v>7066801</v>
      </c>
      <c r="C694" s="29" t="str">
        <f ca="1">IFERROR(__xludf.DUMMYFUNCTION("GOOGLETRANSLATE(C5997,""en"",""hr"")"),"Hidraulično crijevo")</f>
        <v>Hidraulično crijevo</v>
      </c>
      <c r="D694" s="28" t="s">
        <v>11</v>
      </c>
      <c r="E694" s="29">
        <v>1</v>
      </c>
      <c r="F694" s="17"/>
      <c r="I694" s="4" t="b">
        <f>INT(F692*100)=(F692*100)</f>
        <v>1</v>
      </c>
    </row>
    <row r="695" spans="1:9" ht="25.5" customHeight="1" x14ac:dyDescent="0.2">
      <c r="A695" s="27">
        <v>693</v>
      </c>
      <c r="B695" s="29">
        <v>7066829</v>
      </c>
      <c r="C695" s="29" t="str">
        <f ca="1">IFERROR(__xludf.DUMMYFUNCTION("GOOGLETRANSLATE(C204,""en"",""hr"")"),"Spojka")</f>
        <v>Spojka</v>
      </c>
      <c r="D695" s="28" t="s">
        <v>11</v>
      </c>
      <c r="E695" s="29">
        <v>1</v>
      </c>
      <c r="F695" s="17"/>
    </row>
    <row r="696" spans="1:9" ht="25.5" customHeight="1" x14ac:dyDescent="0.2">
      <c r="A696" s="27">
        <v>694</v>
      </c>
      <c r="B696" s="29">
        <v>7066833</v>
      </c>
      <c r="C696" s="29" t="str">
        <f ca="1">IFERROR(__xludf.DUMMYFUNCTION("GOOGLETRANSLATE(C6231,""en"",""hr"")"),"Cijev")</f>
        <v>Cijev</v>
      </c>
      <c r="D696" s="28" t="s">
        <v>11</v>
      </c>
      <c r="E696" s="29">
        <v>1</v>
      </c>
      <c r="F696" s="17"/>
    </row>
    <row r="697" spans="1:9" ht="25.5" customHeight="1" x14ac:dyDescent="0.2">
      <c r="A697" s="27">
        <v>695</v>
      </c>
      <c r="B697" s="29">
        <v>7066843</v>
      </c>
      <c r="C697" s="29" t="str">
        <f ca="1">IFERROR(__xludf.DUMMYFUNCTION("GOOGLETRANSLATE(C6204,""en"",""hr"")"),"Cijev")</f>
        <v>Cijev</v>
      </c>
      <c r="D697" s="28" t="s">
        <v>11</v>
      </c>
      <c r="E697" s="29">
        <v>1</v>
      </c>
      <c r="F697" s="17"/>
      <c r="I697" s="4" t="b">
        <f>INT(F695*100)=(F695*100)</f>
        <v>1</v>
      </c>
    </row>
    <row r="698" spans="1:9" ht="25.5" customHeight="1" x14ac:dyDescent="0.2">
      <c r="A698" s="27">
        <v>696</v>
      </c>
      <c r="B698" s="29">
        <v>7066844</v>
      </c>
      <c r="C698" s="29" t="str">
        <f ca="1">IFERROR(__xludf.DUMMYFUNCTION("GOOGLETRANSLATE(C3679,""en"",""hr"")"),"Držač za filter za vodu")</f>
        <v>Držač za filter za vodu</v>
      </c>
      <c r="D698" s="28" t="s">
        <v>11</v>
      </c>
      <c r="E698" s="29">
        <v>1</v>
      </c>
      <c r="F698" s="17"/>
    </row>
    <row r="699" spans="1:9" ht="25.5" customHeight="1" x14ac:dyDescent="0.2">
      <c r="A699" s="27">
        <v>697</v>
      </c>
      <c r="B699" s="29">
        <v>7066871</v>
      </c>
      <c r="C699" s="29" t="str">
        <f ca="1">IFERROR(__xludf.DUMMYFUNCTION("GOOGLETRANSLATE(C4691,""en"",""hr"")"),"Zaštita")</f>
        <v>Zaštita</v>
      </c>
      <c r="D699" s="28" t="s">
        <v>11</v>
      </c>
      <c r="E699" s="29">
        <v>1</v>
      </c>
      <c r="F699" s="17"/>
    </row>
    <row r="700" spans="1:9" ht="25.5" customHeight="1" x14ac:dyDescent="0.2">
      <c r="A700" s="27">
        <v>698</v>
      </c>
      <c r="B700" s="29">
        <v>7066877</v>
      </c>
      <c r="C700" s="29" t="str">
        <f ca="1">IFERROR(__xludf.DUMMYFUNCTION("GOOGLETRANSLATE(C3361,""en"",""hr"")"),"Držač")</f>
        <v>Držač</v>
      </c>
      <c r="D700" s="28" t="s">
        <v>11</v>
      </c>
      <c r="E700" s="29">
        <v>1</v>
      </c>
      <c r="F700" s="17"/>
    </row>
    <row r="701" spans="1:9" ht="25.5" customHeight="1" x14ac:dyDescent="0.2">
      <c r="A701" s="27">
        <v>699</v>
      </c>
      <c r="B701" s="29">
        <v>7066886</v>
      </c>
      <c r="C701" s="29" t="str">
        <f ca="1">IFERROR(__xludf.DUMMYFUNCTION("GOOGLETRANSLATE(C3362,""en"",""hr"")"),"Držač")</f>
        <v>Držač</v>
      </c>
      <c r="D701" s="28" t="s">
        <v>11</v>
      </c>
      <c r="E701" s="29">
        <v>1</v>
      </c>
      <c r="F701" s="17"/>
      <c r="I701" s="4" t="b">
        <f>INT(F699*100)=(F699*100)</f>
        <v>1</v>
      </c>
    </row>
    <row r="702" spans="1:9" ht="25.5" customHeight="1" x14ac:dyDescent="0.2">
      <c r="A702" s="27">
        <v>700</v>
      </c>
      <c r="B702" s="29">
        <v>7066898</v>
      </c>
      <c r="C702" s="29" t="str">
        <f ca="1">IFERROR(__xludf.DUMMYFUNCTION("GOOGLETRANSLATE(C6625,""en"",""hr"")"),"Ključ za hidrant")</f>
        <v>Ključ za hidrant</v>
      </c>
      <c r="D702" s="28" t="s">
        <v>11</v>
      </c>
      <c r="E702" s="29">
        <v>1</v>
      </c>
      <c r="F702" s="17"/>
    </row>
    <row r="703" spans="1:9" ht="25.5" customHeight="1" x14ac:dyDescent="0.2">
      <c r="A703" s="27">
        <v>701</v>
      </c>
      <c r="B703" s="29">
        <v>7066907</v>
      </c>
      <c r="C703" s="29" t="str">
        <f ca="1">IFERROR(__xludf.DUMMYFUNCTION("GOOGLETRANSLATE(C6206,""en"",""hr"")"),"Tlačni vod")</f>
        <v>Tlačni vod</v>
      </c>
      <c r="D703" s="28" t="s">
        <v>11</v>
      </c>
      <c r="E703" s="29">
        <v>1</v>
      </c>
      <c r="F703" s="17"/>
    </row>
    <row r="704" spans="1:9" ht="25.5" customHeight="1" x14ac:dyDescent="0.2">
      <c r="A704" s="27">
        <v>702</v>
      </c>
      <c r="B704" s="29">
        <v>7066908</v>
      </c>
      <c r="C704" s="29" t="str">
        <f ca="1">IFERROR(__xludf.DUMMYFUNCTION("GOOGLETRANSLATE(C2388,""en"",""hr"")"),"Cijev")</f>
        <v>Cijev</v>
      </c>
      <c r="D704" s="28" t="s">
        <v>11</v>
      </c>
      <c r="E704" s="29">
        <v>1</v>
      </c>
      <c r="F704" s="17"/>
    </row>
    <row r="705" spans="1:9" ht="25.5" customHeight="1" x14ac:dyDescent="0.2">
      <c r="A705" s="27">
        <v>703</v>
      </c>
      <c r="B705" s="29">
        <v>7066910</v>
      </c>
      <c r="C705" s="29" t="str">
        <f ca="1">IFERROR(__xludf.DUMMYFUNCTION("GOOGLETRANSLATE(C6665,""en"",""hr"")"),"Držač")</f>
        <v>Držač</v>
      </c>
      <c r="D705" s="28" t="s">
        <v>11</v>
      </c>
      <c r="E705" s="29">
        <v>1</v>
      </c>
      <c r="F705" s="17"/>
    </row>
    <row r="706" spans="1:9" ht="25.5" customHeight="1" x14ac:dyDescent="0.2">
      <c r="A706" s="27">
        <v>704</v>
      </c>
      <c r="B706" s="29">
        <v>7066960</v>
      </c>
      <c r="C706" s="29" t="str">
        <f ca="1">IFERROR(__xludf.DUMMYFUNCTION("GOOGLETRANSLATE(C3373,""en"",""hr"")"),"Ručka")</f>
        <v>Ručka</v>
      </c>
      <c r="D706" s="28" t="s">
        <v>11</v>
      </c>
      <c r="E706" s="29">
        <v>1</v>
      </c>
      <c r="F706" s="17"/>
    </row>
    <row r="707" spans="1:9" ht="25.5" customHeight="1" x14ac:dyDescent="0.2">
      <c r="A707" s="27">
        <v>705</v>
      </c>
      <c r="B707" s="29">
        <v>7066961</v>
      </c>
      <c r="C707" s="29" t="str">
        <f ca="1">IFERROR(__xludf.DUMMYFUNCTION("GOOGLETRANSLATE(C3366,""en"",""hr"")"),"Ručka")</f>
        <v>Ručka</v>
      </c>
      <c r="D707" s="28" t="s">
        <v>11</v>
      </c>
      <c r="E707" s="29">
        <v>1</v>
      </c>
      <c r="F707" s="17"/>
    </row>
    <row r="708" spans="1:9" ht="25.5" customHeight="1" x14ac:dyDescent="0.2">
      <c r="A708" s="27">
        <v>706</v>
      </c>
      <c r="B708" s="29">
        <v>7067013</v>
      </c>
      <c r="C708" s="29" t="str">
        <f ca="1">IFERROR(__xludf.DUMMYFUNCTION("GOOGLETRANSLATE(C537,""en"",""hr"")"),"Crijevo")</f>
        <v>Crijevo</v>
      </c>
      <c r="D708" s="28" t="s">
        <v>11</v>
      </c>
      <c r="E708" s="29">
        <v>1</v>
      </c>
      <c r="F708" s="17"/>
    </row>
    <row r="709" spans="1:9" ht="25.5" customHeight="1" x14ac:dyDescent="0.2">
      <c r="A709" s="27">
        <v>707</v>
      </c>
      <c r="B709" s="29">
        <v>7067014</v>
      </c>
      <c r="C709" s="29" t="str">
        <f ca="1">IFERROR(__xludf.DUMMYFUNCTION("GOOGLETRANSLATE(C539,""en"",""hr"")"),"Crijevo")</f>
        <v>Crijevo</v>
      </c>
      <c r="D709" s="28" t="s">
        <v>11</v>
      </c>
      <c r="E709" s="29">
        <v>1</v>
      </c>
      <c r="F709" s="17"/>
    </row>
    <row r="710" spans="1:9" ht="25.5" customHeight="1" x14ac:dyDescent="0.2">
      <c r="A710" s="27">
        <v>708</v>
      </c>
      <c r="B710" s="29">
        <v>7067064</v>
      </c>
      <c r="C710" s="29" t="str">
        <f ca="1">IFERROR(__xludf.DUMMYFUNCTION("GOOGLETRANSLATE(C5114,""en"",""hr"")"),"Držač")</f>
        <v>Držač</v>
      </c>
      <c r="D710" s="28" t="s">
        <v>11</v>
      </c>
      <c r="E710" s="29">
        <v>1</v>
      </c>
      <c r="F710" s="17"/>
    </row>
    <row r="711" spans="1:9" ht="25.5" customHeight="1" x14ac:dyDescent="0.2">
      <c r="A711" s="27">
        <v>709</v>
      </c>
      <c r="B711" s="29">
        <v>7067065</v>
      </c>
      <c r="C711" s="29" t="str">
        <f ca="1">IFERROR(__xludf.DUMMYFUNCTION("GOOGLETRANSLATE(C5113,""en"",""hr"")"),"Držač")</f>
        <v>Držač</v>
      </c>
      <c r="D711" s="28" t="s">
        <v>11</v>
      </c>
      <c r="E711" s="29">
        <v>1</v>
      </c>
      <c r="F711" s="17"/>
    </row>
    <row r="712" spans="1:9" ht="25.5" customHeight="1" x14ac:dyDescent="0.2">
      <c r="A712" s="27">
        <v>710</v>
      </c>
      <c r="B712" s="29">
        <v>7067139</v>
      </c>
      <c r="C712" s="29" t="str">
        <f ca="1">IFERROR(__xludf.DUMMYFUNCTION("GOOGLETRANSLATE(C5731,""en"",""hr"")"),"Lim lijevo, naprijed")</f>
        <v>Lim lijevo, naprijed</v>
      </c>
      <c r="D712" s="28" t="s">
        <v>11</v>
      </c>
      <c r="E712" s="29">
        <v>1</v>
      </c>
      <c r="F712" s="17"/>
    </row>
    <row r="713" spans="1:9" ht="25.5" customHeight="1" x14ac:dyDescent="0.2">
      <c r="A713" s="27">
        <v>711</v>
      </c>
      <c r="B713" s="29">
        <v>7067140</v>
      </c>
      <c r="C713" s="29" t="str">
        <f ca="1">IFERROR(__xludf.DUMMYFUNCTION("GOOGLETRANSLATE(C3528,""en"",""hr"")"),"Lim desno, naprijed")</f>
        <v>Lim desno, naprijed</v>
      </c>
      <c r="D713" s="28" t="s">
        <v>11</v>
      </c>
      <c r="E713" s="29">
        <v>1</v>
      </c>
      <c r="F713" s="17"/>
    </row>
    <row r="714" spans="1:9" ht="25.5" customHeight="1" x14ac:dyDescent="0.2">
      <c r="A714" s="27">
        <v>712</v>
      </c>
      <c r="B714" s="29">
        <v>7067141</v>
      </c>
      <c r="C714" s="29" t="str">
        <f ca="1">IFERROR(__xludf.DUMMYFUNCTION("GOOGLETRANSLATE(C4664,""en"",""hr"")"),"Metalni lim")</f>
        <v>Metalni lim</v>
      </c>
      <c r="D714" s="28" t="s">
        <v>11</v>
      </c>
      <c r="E714" s="29">
        <v>1</v>
      </c>
      <c r="F714" s="17"/>
    </row>
    <row r="715" spans="1:9" ht="25.5" customHeight="1" x14ac:dyDescent="0.2">
      <c r="A715" s="27">
        <v>713</v>
      </c>
      <c r="B715" s="29">
        <v>7067142</v>
      </c>
      <c r="C715" s="29" t="str">
        <f ca="1">IFERROR(__xludf.DUMMYFUNCTION("GOOGLETRANSLATE(C1098,""en"",""hr"")"),"Metalni lim")</f>
        <v>Metalni lim</v>
      </c>
      <c r="D715" s="28" t="s">
        <v>11</v>
      </c>
      <c r="E715" s="29">
        <v>1</v>
      </c>
      <c r="F715" s="17"/>
    </row>
    <row r="716" spans="1:9" ht="25.5" customHeight="1" x14ac:dyDescent="0.2">
      <c r="A716" s="27">
        <v>714</v>
      </c>
      <c r="B716" s="29">
        <v>7067189</v>
      </c>
      <c r="C716" s="29" t="str">
        <f ca="1">IFERROR(__xludf.DUMMYFUNCTION("GOOGLETRANSLATE(C4144,""en"",""hr"")"),"Razmaknica")</f>
        <v>Razmaknica</v>
      </c>
      <c r="D716" s="28" t="s">
        <v>11</v>
      </c>
      <c r="E716" s="29">
        <v>1</v>
      </c>
      <c r="F716" s="17"/>
    </row>
    <row r="717" spans="1:9" ht="25.5" customHeight="1" x14ac:dyDescent="0.2">
      <c r="A717" s="27">
        <v>715</v>
      </c>
      <c r="B717" s="29">
        <v>7067219</v>
      </c>
      <c r="C717" s="29" t="str">
        <f ca="1">IFERROR(__xludf.DUMMYFUNCTION("GOOGLETRANSLATE(C4704,""en"",""hr"")"),"Rešetka")</f>
        <v>Rešetka</v>
      </c>
      <c r="D717" s="28" t="s">
        <v>11</v>
      </c>
      <c r="E717" s="29">
        <v>1</v>
      </c>
      <c r="F717" s="17"/>
    </row>
    <row r="718" spans="1:9" ht="25.5" customHeight="1" x14ac:dyDescent="0.2">
      <c r="A718" s="27">
        <v>716</v>
      </c>
      <c r="B718" s="29">
        <v>7067288</v>
      </c>
      <c r="C718" s="29" t="str">
        <f ca="1">IFERROR(__xludf.DUMMYFUNCTION("GOOGLETRANSLATE(C513,""en"",""hr"")"),"Crijevo")</f>
        <v>Crijevo</v>
      </c>
      <c r="D718" s="28" t="s">
        <v>11</v>
      </c>
      <c r="E718" s="29">
        <v>1</v>
      </c>
      <c r="F718" s="17"/>
    </row>
    <row r="719" spans="1:9" ht="25.5" customHeight="1" x14ac:dyDescent="0.2">
      <c r="A719" s="27">
        <v>717</v>
      </c>
      <c r="B719" s="29">
        <v>7067301</v>
      </c>
      <c r="C719" s="29" t="str">
        <f ca="1">IFERROR(__xludf.DUMMYFUNCTION("GOOGLETRANSLATE(C4686,""en"",""hr"")"),"Zaslon")</f>
        <v>Zaslon</v>
      </c>
      <c r="D719" s="28" t="s">
        <v>11</v>
      </c>
      <c r="E719" s="29">
        <v>1</v>
      </c>
      <c r="F719" s="17"/>
      <c r="I719" s="4" t="b">
        <f>INT(F717*100)=(F717*100)</f>
        <v>1</v>
      </c>
    </row>
    <row r="720" spans="1:9" ht="25.5" customHeight="1" x14ac:dyDescent="0.2">
      <c r="A720" s="27">
        <v>718</v>
      </c>
      <c r="B720" s="29">
        <v>7067309</v>
      </c>
      <c r="C720" s="29" t="str">
        <f ca="1">IFERROR(__xludf.DUMMYFUNCTION("GOOGLETRANSLATE(C3162,""en"",""hr"")"),"Usisni otvor cilindra za podizanje")</f>
        <v>Usisni otvor cilindra za podizanje</v>
      </c>
      <c r="D720" s="28" t="s">
        <v>11</v>
      </c>
      <c r="E720" s="29">
        <v>1</v>
      </c>
      <c r="F720" s="17"/>
    </row>
    <row r="721" spans="1:9" ht="25.5" customHeight="1" x14ac:dyDescent="0.2">
      <c r="A721" s="27">
        <v>719</v>
      </c>
      <c r="B721" s="29">
        <v>7067310</v>
      </c>
      <c r="C721" s="29" t="str">
        <f ca="1">IFERROR(__xludf.DUMMYFUNCTION("GOOGLETRANSLATE(C3157,""en"",""hr"")"),"Usisni otvor držača cilindra za podizanje")</f>
        <v>Usisni otvor držača cilindra za podizanje</v>
      </c>
      <c r="D721" s="28" t="s">
        <v>11</v>
      </c>
      <c r="E721" s="29">
        <v>1</v>
      </c>
      <c r="F721" s="17"/>
    </row>
    <row r="722" spans="1:9" ht="25.5" customHeight="1" x14ac:dyDescent="0.2">
      <c r="A722" s="27">
        <v>720</v>
      </c>
      <c r="B722" s="29">
        <v>7067313</v>
      </c>
      <c r="C722" s="29" t="str">
        <f ca="1">IFERROR(__xludf.DUMMYFUNCTION("GOOGLETRANSLATE(C3155,""en"",""hr"")"),"Držač")</f>
        <v>Držač</v>
      </c>
      <c r="D722" s="28" t="s">
        <v>11</v>
      </c>
      <c r="E722" s="29">
        <v>1</v>
      </c>
      <c r="F722" s="17"/>
      <c r="I722" s="4" t="b">
        <f>INT(F720*100)=(F720*100)</f>
        <v>1</v>
      </c>
    </row>
    <row r="723" spans="1:9" ht="25.5" customHeight="1" x14ac:dyDescent="0.2">
      <c r="A723" s="27">
        <v>721</v>
      </c>
      <c r="B723" s="29">
        <v>7067327</v>
      </c>
      <c r="C723" s="29" t="str">
        <f ca="1">IFERROR(__xludf.DUMMYFUNCTION("GOOGLETRANSLATE(C3153,""en"",""hr"")"),"Držač")</f>
        <v>Držač</v>
      </c>
      <c r="D723" s="28" t="s">
        <v>11</v>
      </c>
      <c r="E723" s="29">
        <v>1</v>
      </c>
      <c r="F723" s="17"/>
    </row>
    <row r="724" spans="1:9" ht="25.5" customHeight="1" x14ac:dyDescent="0.2">
      <c r="A724" s="27">
        <v>722</v>
      </c>
      <c r="B724" s="29">
        <v>7067329</v>
      </c>
      <c r="C724" s="29" t="str">
        <f ca="1">IFERROR(__xludf.DUMMYFUNCTION("GOOGLETRANSLATE(C2028,""en"",""hr"")"),"Držač")</f>
        <v>Držač</v>
      </c>
      <c r="D724" s="28" t="s">
        <v>11</v>
      </c>
      <c r="E724" s="29">
        <v>1</v>
      </c>
      <c r="F724" s="17"/>
    </row>
    <row r="725" spans="1:9" ht="25.5" customHeight="1" x14ac:dyDescent="0.2">
      <c r="A725" s="27">
        <v>723</v>
      </c>
      <c r="B725" s="29">
        <v>7067331</v>
      </c>
      <c r="C725" s="29" t="str">
        <f ca="1">IFERROR(__xludf.DUMMYFUNCTION("GOOGLETRANSLATE(C488,""en"",""hr"")"),"Disk udaljenosti")</f>
        <v>Disk udaljenosti</v>
      </c>
      <c r="D725" s="28" t="s">
        <v>11</v>
      </c>
      <c r="E725" s="29">
        <v>1</v>
      </c>
      <c r="F725" s="17"/>
    </row>
    <row r="726" spans="1:9" ht="25.5" customHeight="1" x14ac:dyDescent="0.2">
      <c r="A726" s="27">
        <v>724</v>
      </c>
      <c r="B726" s="29">
        <v>7067332</v>
      </c>
      <c r="C726" s="29" t="str">
        <f ca="1">IFERROR(__xludf.DUMMYFUNCTION("GOOGLETRANSLATE(C595,""en"",""hr"")"),"Crijevo")</f>
        <v>Crijevo</v>
      </c>
      <c r="D726" s="28" t="s">
        <v>11</v>
      </c>
      <c r="E726" s="29">
        <v>1</v>
      </c>
      <c r="F726" s="17"/>
      <c r="I726" s="4" t="b">
        <f>INT(F724*100)=(F724*100)</f>
        <v>1</v>
      </c>
    </row>
    <row r="727" spans="1:9" ht="25.5" customHeight="1" x14ac:dyDescent="0.2">
      <c r="A727" s="27">
        <v>725</v>
      </c>
      <c r="B727" s="29">
        <v>7067335</v>
      </c>
      <c r="C727" s="29" t="str">
        <f ca="1">IFERROR(__xludf.DUMMYFUNCTION("GOOGLETRANSLATE(C593,""en"",""hr"")"),"Kočioni vod")</f>
        <v>Kočioni vod</v>
      </c>
      <c r="D727" s="28" t="s">
        <v>11</v>
      </c>
      <c r="E727" s="29">
        <v>1</v>
      </c>
      <c r="F727" s="17"/>
    </row>
    <row r="728" spans="1:9" ht="25.5" customHeight="1" x14ac:dyDescent="0.2">
      <c r="A728" s="27">
        <v>726</v>
      </c>
      <c r="B728" s="29">
        <v>7067337</v>
      </c>
      <c r="C728" s="29" t="str">
        <f ca="1">IFERROR(__xludf.DUMMYFUNCTION("GOOGLETRANSLATE(C590,""en"",""hr"")"),"Kočioni vod")</f>
        <v>Kočioni vod</v>
      </c>
      <c r="D728" s="28" t="s">
        <v>11</v>
      </c>
      <c r="E728" s="29">
        <v>1</v>
      </c>
      <c r="F728" s="17"/>
    </row>
    <row r="729" spans="1:9" ht="25.5" customHeight="1" x14ac:dyDescent="0.2">
      <c r="A729" s="27">
        <v>727</v>
      </c>
      <c r="B729" s="29">
        <v>7067344</v>
      </c>
      <c r="C729" s="29" t="str">
        <f ca="1">IFERROR(__xludf.DUMMYFUNCTION("GOOGLETRANSLATE(C594,""en"",""hr"")"),"Kočioni vod")</f>
        <v>Kočioni vod</v>
      </c>
      <c r="D729" s="28" t="s">
        <v>11</v>
      </c>
      <c r="E729" s="29">
        <v>1</v>
      </c>
      <c r="F729" s="17"/>
    </row>
    <row r="730" spans="1:9" ht="25.5" customHeight="1" x14ac:dyDescent="0.2">
      <c r="A730" s="27">
        <v>728</v>
      </c>
      <c r="B730" s="29">
        <v>7067346</v>
      </c>
      <c r="C730" s="29" t="str">
        <f ca="1">IFERROR(__xludf.DUMMYFUNCTION("GOOGLETRANSLATE(C591,""en"",""hr"")"),"Kočioni vod")</f>
        <v>Kočioni vod</v>
      </c>
      <c r="D730" s="28" t="s">
        <v>11</v>
      </c>
      <c r="E730" s="29">
        <v>1</v>
      </c>
      <c r="F730" s="17"/>
    </row>
    <row r="731" spans="1:9" ht="25.5" customHeight="1" x14ac:dyDescent="0.2">
      <c r="A731" s="27">
        <v>729</v>
      </c>
      <c r="B731" s="29">
        <v>7067352</v>
      </c>
      <c r="C731" s="29" t="str">
        <f ca="1">IFERROR(__xludf.DUMMYFUNCTION("GOOGLETRANSLATE(C596,""en"",""hr"")"),"Crijevo")</f>
        <v>Crijevo</v>
      </c>
      <c r="D731" s="28" t="s">
        <v>11</v>
      </c>
      <c r="E731" s="29">
        <v>1</v>
      </c>
      <c r="F731" s="17"/>
    </row>
    <row r="732" spans="1:9" ht="25.5" customHeight="1" x14ac:dyDescent="0.2">
      <c r="A732" s="27">
        <v>730</v>
      </c>
      <c r="B732" s="29">
        <v>7067360</v>
      </c>
      <c r="C732" s="29" t="str">
        <f ca="1">IFERROR(__xludf.DUMMYFUNCTION("GOOGLETRANSLATE(C589,""en"",""hr"")"),"Crijevo")</f>
        <v>Crijevo</v>
      </c>
      <c r="D732" s="28" t="s">
        <v>11</v>
      </c>
      <c r="E732" s="29">
        <v>1</v>
      </c>
      <c r="F732" s="17"/>
    </row>
    <row r="733" spans="1:9" ht="25.5" customHeight="1" x14ac:dyDescent="0.2">
      <c r="A733" s="27">
        <v>731</v>
      </c>
      <c r="B733" s="29">
        <v>7067377</v>
      </c>
      <c r="C733" s="29" t="str">
        <f ca="1">IFERROR(__xludf.DUMMYFUNCTION("GOOGLETRANSLATE(C5361,""en"",""hr"")"),"Zaštita")</f>
        <v>Zaštita</v>
      </c>
      <c r="D733" s="28" t="s">
        <v>11</v>
      </c>
      <c r="E733" s="29">
        <v>1</v>
      </c>
      <c r="F733" s="17"/>
    </row>
    <row r="734" spans="1:9" ht="25.5" customHeight="1" x14ac:dyDescent="0.2">
      <c r="A734" s="27">
        <v>732</v>
      </c>
      <c r="B734" s="29">
        <v>7067378</v>
      </c>
      <c r="C734" s="29" t="str">
        <f ca="1">IFERROR(__xludf.DUMMYFUNCTION("GOOGLETRANSLATE(C5360,""en"",""hr"")"),"Zaštita")</f>
        <v>Zaštita</v>
      </c>
      <c r="D734" s="28" t="s">
        <v>11</v>
      </c>
      <c r="E734" s="29">
        <v>1</v>
      </c>
      <c r="F734" s="17"/>
    </row>
    <row r="735" spans="1:9" ht="25.5" customHeight="1" x14ac:dyDescent="0.2">
      <c r="A735" s="27">
        <v>733</v>
      </c>
      <c r="B735" s="29">
        <v>7067386</v>
      </c>
      <c r="C735" s="29" t="str">
        <f ca="1">IFERROR(__xludf.DUMMYFUNCTION("GOOGLETRANSLATE(C5925,""en"",""hr"")"),"Cijev")</f>
        <v>Cijev</v>
      </c>
      <c r="D735" s="28" t="s">
        <v>11</v>
      </c>
      <c r="E735" s="29">
        <v>1</v>
      </c>
      <c r="F735" s="17"/>
    </row>
    <row r="736" spans="1:9" ht="25.5" customHeight="1" x14ac:dyDescent="0.2">
      <c r="A736" s="27">
        <v>734</v>
      </c>
      <c r="B736" s="29">
        <v>7067405</v>
      </c>
      <c r="C736" s="29" t="str">
        <f ca="1">IFERROR(__xludf.DUMMYFUNCTION("GOOGLETRANSLATE(C3159,""en"",""hr"")"),"Distantna čahura")</f>
        <v>Distantna čahura</v>
      </c>
      <c r="D736" s="28" t="s">
        <v>11</v>
      </c>
      <c r="E736" s="29">
        <v>1</v>
      </c>
      <c r="F736" s="17"/>
    </row>
    <row r="737" spans="1:9" ht="25.5" customHeight="1" x14ac:dyDescent="0.2">
      <c r="A737" s="27">
        <v>735</v>
      </c>
      <c r="B737" s="29">
        <v>7067430</v>
      </c>
      <c r="C737" s="29" t="str">
        <f ca="1">IFERROR(__xludf.DUMMYFUNCTION("GOOGLETRANSLATE(C3134,""en"",""hr"")"),"Sklop nosača usisne cijevi")</f>
        <v>Sklop nosača usisne cijevi</v>
      </c>
      <c r="D737" s="28" t="s">
        <v>11</v>
      </c>
      <c r="E737" s="29">
        <v>1</v>
      </c>
      <c r="F737" s="17"/>
    </row>
    <row r="738" spans="1:9" ht="25.5" customHeight="1" x14ac:dyDescent="0.2">
      <c r="A738" s="27">
        <v>736</v>
      </c>
      <c r="B738" s="29">
        <v>7067434</v>
      </c>
      <c r="C738" s="29" t="str">
        <f ca="1">IFERROR(__xludf.DUMMYFUNCTION("GOOGLETRANSLATE(C3974,""en"",""hr"")"),"Držač")</f>
        <v>Držač</v>
      </c>
      <c r="D738" s="28" t="s">
        <v>11</v>
      </c>
      <c r="E738" s="29">
        <v>1</v>
      </c>
      <c r="F738" s="17"/>
    </row>
    <row r="739" spans="1:9" ht="25.5" customHeight="1" x14ac:dyDescent="0.2">
      <c r="A739" s="27">
        <v>737</v>
      </c>
      <c r="B739" s="29">
        <v>7067441</v>
      </c>
      <c r="C739" s="29" t="str">
        <f ca="1">IFERROR(__xludf.DUMMYFUNCTION("GOOGLETRANSLATE(C5852,""en"",""hr"")"),"Povratna cijev hladnjaka")</f>
        <v>Povratna cijev hladnjaka</v>
      </c>
      <c r="D739" s="28" t="s">
        <v>11</v>
      </c>
      <c r="E739" s="29">
        <v>1</v>
      </c>
      <c r="F739" s="17"/>
    </row>
    <row r="740" spans="1:9" ht="25.5" customHeight="1" x14ac:dyDescent="0.2">
      <c r="A740" s="27">
        <v>738</v>
      </c>
      <c r="B740" s="29">
        <v>7067464</v>
      </c>
      <c r="C740" s="29" t="str">
        <f ca="1">IFERROR(__xludf.DUMMYFUNCTION("GOOGLETRANSLATE(C6612,""en"",""hr"")"),"Držač")</f>
        <v>Držač</v>
      </c>
      <c r="D740" s="28" t="s">
        <v>11</v>
      </c>
      <c r="E740" s="29">
        <v>1</v>
      </c>
      <c r="F740" s="17"/>
    </row>
    <row r="741" spans="1:9" ht="25.5" customHeight="1" x14ac:dyDescent="0.2">
      <c r="A741" s="27">
        <v>739</v>
      </c>
      <c r="B741" s="29">
        <v>7067475</v>
      </c>
      <c r="C741" s="29" t="str">
        <f ca="1">IFERROR(__xludf.DUMMYFUNCTION("GOOGLETRANSLATE(C4983,""en"",""hr"")"),"Podna ploča")</f>
        <v>Podna ploča</v>
      </c>
      <c r="D741" s="28" t="s">
        <v>11</v>
      </c>
      <c r="E741" s="29">
        <v>1</v>
      </c>
      <c r="F741" s="17"/>
    </row>
    <row r="742" spans="1:9" ht="25.5" customHeight="1" x14ac:dyDescent="0.2">
      <c r="A742" s="27">
        <v>740</v>
      </c>
      <c r="B742" s="29">
        <v>7067477</v>
      </c>
      <c r="C742" s="29" t="str">
        <f ca="1">IFERROR(__xludf.DUMMYFUNCTION("GOOGLETRANSLATE(C4984,""en"",""hr"")"),"Podna ploča")</f>
        <v>Podna ploča</v>
      </c>
      <c r="D742" s="28" t="s">
        <v>11</v>
      </c>
      <c r="E742" s="29">
        <v>1</v>
      </c>
      <c r="F742" s="17"/>
    </row>
    <row r="743" spans="1:9" ht="25.5" customHeight="1" x14ac:dyDescent="0.2">
      <c r="A743" s="27">
        <v>741</v>
      </c>
      <c r="B743" s="29">
        <v>7067489</v>
      </c>
      <c r="C743" s="29" t="str">
        <f ca="1">IFERROR(__xludf.DUMMYFUNCTION("GOOGLETRANSLATE(C4951,""en"",""hr"")"),"Podna prostirka")</f>
        <v>Podna prostirka</v>
      </c>
      <c r="D743" s="28" t="s">
        <v>11</v>
      </c>
      <c r="E743" s="29">
        <v>1</v>
      </c>
      <c r="F743" s="17"/>
    </row>
    <row r="744" spans="1:9" ht="25.5" customHeight="1" x14ac:dyDescent="0.2">
      <c r="A744" s="27">
        <v>742</v>
      </c>
      <c r="B744" s="29">
        <v>7067490</v>
      </c>
      <c r="C744" s="29" t="str">
        <f ca="1">IFERROR(__xludf.DUMMYFUNCTION("GOOGLETRANSLATE(C4952,""en"",""hr"")"),"Podna prostirka")</f>
        <v>Podna prostirka</v>
      </c>
      <c r="D744" s="28" t="s">
        <v>11</v>
      </c>
      <c r="E744" s="29">
        <v>1</v>
      </c>
      <c r="F744" s="17"/>
    </row>
    <row r="745" spans="1:9" ht="25.5" customHeight="1" x14ac:dyDescent="0.2">
      <c r="A745" s="27">
        <v>743</v>
      </c>
      <c r="B745" s="29">
        <v>7067496</v>
      </c>
      <c r="C745" s="29" t="str">
        <f ca="1">IFERROR(__xludf.DUMMYFUNCTION("GOOGLETRANSLATE(C333,""en"",""hr"")"),"Višenamjenska podrška")</f>
        <v>Višenamjenska podrška</v>
      </c>
      <c r="D745" s="28" t="s">
        <v>11</v>
      </c>
      <c r="E745" s="29">
        <v>1</v>
      </c>
      <c r="F745" s="17"/>
      <c r="I745" s="4" t="b">
        <f>INT(F743*100)=(F743*100)</f>
        <v>1</v>
      </c>
    </row>
    <row r="746" spans="1:9" ht="25.5" customHeight="1" x14ac:dyDescent="0.2">
      <c r="A746" s="27">
        <v>744</v>
      </c>
      <c r="B746" s="29">
        <v>7067554</v>
      </c>
      <c r="C746" s="29" t="str">
        <f ca="1">IFERROR(__xludf.DUMMYFUNCTION("GOOGLETRANSLATE(C6290,""en"",""hr"")"),"Kabelski svežanj (+FO-SB)")</f>
        <v>Kabelski svežanj (+FO-SB)</v>
      </c>
      <c r="D746" s="28" t="s">
        <v>11</v>
      </c>
      <c r="E746" s="29">
        <v>1</v>
      </c>
      <c r="F746" s="17"/>
    </row>
    <row r="747" spans="1:9" ht="25.5" customHeight="1" x14ac:dyDescent="0.2">
      <c r="A747" s="27">
        <v>745</v>
      </c>
      <c r="B747" s="29">
        <v>7067558</v>
      </c>
      <c r="C747" s="29" t="str">
        <f ca="1">IFERROR(__xludf.DUMMYFUNCTION("GOOGLETRANSLATE(C4740,""en"",""hr"")"),"Držač")</f>
        <v>Držač</v>
      </c>
      <c r="D747" s="28" t="s">
        <v>11</v>
      </c>
      <c r="E747" s="29">
        <v>1</v>
      </c>
      <c r="F747" s="17"/>
    </row>
    <row r="748" spans="1:9" ht="25.5" customHeight="1" x14ac:dyDescent="0.2">
      <c r="A748" s="27">
        <v>746</v>
      </c>
      <c r="B748" s="29">
        <v>7067611</v>
      </c>
      <c r="C748" s="29" t="str">
        <f ca="1">IFERROR(__xludf.DUMMYFUNCTION("GOOGLETRANSLATE(C6211,""en"",""hr"")"),"Cijev")</f>
        <v>Cijev</v>
      </c>
      <c r="D748" s="28" t="s">
        <v>11</v>
      </c>
      <c r="E748" s="29">
        <v>1</v>
      </c>
      <c r="F748" s="17"/>
      <c r="I748" s="4" t="b">
        <f>INT(F746*100)=(F746*100)</f>
        <v>1</v>
      </c>
    </row>
    <row r="749" spans="1:9" ht="25.5" customHeight="1" x14ac:dyDescent="0.2">
      <c r="A749" s="27">
        <v>747</v>
      </c>
      <c r="B749" s="29">
        <v>7067613</v>
      </c>
      <c r="C749" s="29" t="str">
        <f ca="1">IFERROR(__xludf.DUMMYFUNCTION("GOOGLETRANSLATE(C6213,""en"",""hr"")"),"Cijev")</f>
        <v>Cijev</v>
      </c>
      <c r="D749" s="28" t="s">
        <v>11</v>
      </c>
      <c r="E749" s="29">
        <v>1</v>
      </c>
      <c r="F749" s="17"/>
    </row>
    <row r="750" spans="1:9" ht="25.5" customHeight="1" x14ac:dyDescent="0.2">
      <c r="A750" s="27">
        <v>748</v>
      </c>
      <c r="B750" s="29">
        <v>7067614</v>
      </c>
      <c r="C750" s="29" t="str">
        <f ca="1">IFERROR(__xludf.DUMMYFUNCTION("GOOGLETRANSLATE(C6215,""en"",""hr"")"),"Cijev")</f>
        <v>Cijev</v>
      </c>
      <c r="D750" s="28" t="s">
        <v>11</v>
      </c>
      <c r="E750" s="29">
        <v>1</v>
      </c>
      <c r="F750" s="17"/>
    </row>
    <row r="751" spans="1:9" ht="25.5" customHeight="1" x14ac:dyDescent="0.2">
      <c r="A751" s="27">
        <v>749</v>
      </c>
      <c r="B751" s="29">
        <v>7067617</v>
      </c>
      <c r="C751" s="29" t="str">
        <f ca="1">IFERROR(__xludf.DUMMYFUNCTION("GOOGLETRANSLATE(C6217,""en"",""hr"")"),"Cijev")</f>
        <v>Cijev</v>
      </c>
      <c r="D751" s="28" t="s">
        <v>11</v>
      </c>
      <c r="E751" s="29">
        <v>1</v>
      </c>
      <c r="F751" s="17"/>
    </row>
    <row r="752" spans="1:9" ht="25.5" customHeight="1" x14ac:dyDescent="0.2">
      <c r="A752" s="27">
        <v>750</v>
      </c>
      <c r="B752" s="29">
        <v>7067620</v>
      </c>
      <c r="C752" s="29" t="str">
        <f ca="1">IFERROR(__xludf.DUMMYFUNCTION("GOOGLETRANSLATE(C6219,""en"",""hr"")"),"Cijev")</f>
        <v>Cijev</v>
      </c>
      <c r="D752" s="28" t="s">
        <v>11</v>
      </c>
      <c r="E752" s="29">
        <v>1</v>
      </c>
      <c r="F752" s="17"/>
      <c r="I752" s="4" t="b">
        <f>INT(F750*100)=(F750*100)</f>
        <v>1</v>
      </c>
    </row>
    <row r="753" spans="1:6" ht="25.5" customHeight="1" x14ac:dyDescent="0.2">
      <c r="A753" s="27">
        <v>751</v>
      </c>
      <c r="B753" s="29">
        <v>7067643</v>
      </c>
      <c r="C753" s="29" t="str">
        <f ca="1">IFERROR(__xludf.DUMMYFUNCTION("GOOGLETRANSLATE(C551,""en"",""hr"")"),"Ventil ručne kočnice")</f>
        <v>Ventil ručne kočnice</v>
      </c>
      <c r="D753" s="28" t="s">
        <v>11</v>
      </c>
      <c r="E753" s="29">
        <v>1</v>
      </c>
      <c r="F753" s="17"/>
    </row>
    <row r="754" spans="1:6" ht="25.5" customHeight="1" x14ac:dyDescent="0.2">
      <c r="A754" s="27">
        <v>752</v>
      </c>
      <c r="B754" s="29">
        <v>7067655</v>
      </c>
      <c r="C754" s="29" t="str">
        <f ca="1">IFERROR(__xludf.DUMMYFUNCTION("GOOGLETRANSLATE(C4166,""en"",""hr"")"),"Montažna ploča")</f>
        <v>Montažna ploča</v>
      </c>
      <c r="D754" s="28" t="s">
        <v>11</v>
      </c>
      <c r="E754" s="29">
        <v>1</v>
      </c>
      <c r="F754" s="17"/>
    </row>
    <row r="755" spans="1:6" ht="25.5" customHeight="1" x14ac:dyDescent="0.2">
      <c r="A755" s="27">
        <v>753</v>
      </c>
      <c r="B755" s="29">
        <v>7067692</v>
      </c>
      <c r="C755" s="29" t="str">
        <f ca="1">IFERROR(__xludf.DUMMYFUNCTION("GOOGLETRANSLATE(C4167,""en"",""hr"")"),"Ploča")</f>
        <v>Ploča</v>
      </c>
      <c r="D755" s="28" t="s">
        <v>11</v>
      </c>
      <c r="E755" s="29">
        <v>1</v>
      </c>
      <c r="F755" s="17"/>
    </row>
    <row r="756" spans="1:6" ht="25.5" customHeight="1" x14ac:dyDescent="0.2">
      <c r="A756" s="27">
        <v>754</v>
      </c>
      <c r="B756" s="29">
        <v>7067773</v>
      </c>
      <c r="C756" s="29" t="str">
        <f ca="1">IFERROR(__xludf.DUMMYFUNCTION("GOOGLETRANSLATE(C351,""en"",""hr"")"),"Felge 6Jx16 ET50")</f>
        <v>Felge 6Jx16 ET50</v>
      </c>
      <c r="D756" s="28" t="s">
        <v>11</v>
      </c>
      <c r="E756" s="29">
        <v>1</v>
      </c>
      <c r="F756" s="17"/>
    </row>
    <row r="757" spans="1:6" ht="25.5" customHeight="1" x14ac:dyDescent="0.2">
      <c r="A757" s="27">
        <v>755</v>
      </c>
      <c r="B757" s="29">
        <v>7067779</v>
      </c>
      <c r="C757" s="29" t="str">
        <f ca="1">IFERROR(__xludf.DUMMYFUNCTION("GOOGLETRANSLATE(C2588,""en"",""hr"")"),"Crijevo")</f>
        <v>Crijevo</v>
      </c>
      <c r="D757" s="28" t="s">
        <v>11</v>
      </c>
      <c r="E757" s="29">
        <v>1</v>
      </c>
      <c r="F757" s="17"/>
    </row>
    <row r="758" spans="1:6" ht="25.5" customHeight="1" x14ac:dyDescent="0.2">
      <c r="A758" s="27">
        <v>756</v>
      </c>
      <c r="B758" s="29">
        <v>7067781</v>
      </c>
      <c r="C758" s="29" t="str">
        <f ca="1">IFERROR(__xludf.DUMMYFUNCTION("GOOGLETRANSLATE(C2587,""en"",""hr"")"),"Crijevo")</f>
        <v>Crijevo</v>
      </c>
      <c r="D758" s="28" t="s">
        <v>11</v>
      </c>
      <c r="E758" s="29">
        <v>1</v>
      </c>
      <c r="F758" s="17"/>
    </row>
    <row r="759" spans="1:6" ht="25.5" customHeight="1" x14ac:dyDescent="0.2">
      <c r="A759" s="27">
        <v>757</v>
      </c>
      <c r="B759" s="29">
        <v>7067788</v>
      </c>
      <c r="C759" s="29" t="str">
        <f ca="1">IFERROR(__xludf.DUMMYFUNCTION("GOOGLETRANSLATE(C399,""en"",""hr"")"),"Felge W8x16 ET45")</f>
        <v>Felge W8x16 ET45</v>
      </c>
      <c r="D759" s="28" t="s">
        <v>11</v>
      </c>
      <c r="E759" s="29">
        <v>1</v>
      </c>
      <c r="F759" s="17"/>
    </row>
    <row r="760" spans="1:6" ht="25.5" customHeight="1" x14ac:dyDescent="0.2">
      <c r="A760" s="27">
        <v>758</v>
      </c>
      <c r="B760" s="29">
        <v>7067797</v>
      </c>
      <c r="C760" s="29" t="str">
        <f ca="1">IFERROR(__xludf.DUMMYFUNCTION("GOOGLETRANSLATE(C71,""en"",""hr"")"),"Kotač 215/75 R16, 4x2, oniks")</f>
        <v>Kotač 215/75 R16, 4x2, oniks</v>
      </c>
      <c r="D760" s="28" t="s">
        <v>11</v>
      </c>
      <c r="E760" s="29">
        <v>1</v>
      </c>
      <c r="F760" s="17"/>
    </row>
    <row r="761" spans="1:6" ht="25.5" customHeight="1" x14ac:dyDescent="0.2">
      <c r="A761" s="27">
        <v>759</v>
      </c>
      <c r="B761" s="29">
        <v>7067837</v>
      </c>
      <c r="C761" s="29" t="str">
        <f ca="1">IFERROR(__xludf.DUMMYFUNCTION("GOOGLETRANSLATE(C2586,""en"",""hr"")"),"Crijevo")</f>
        <v>Crijevo</v>
      </c>
      <c r="D761" s="28" t="s">
        <v>11</v>
      </c>
      <c r="E761" s="29">
        <v>1</v>
      </c>
      <c r="F761" s="17"/>
    </row>
    <row r="762" spans="1:6" ht="25.5" customHeight="1" x14ac:dyDescent="0.2">
      <c r="A762" s="27">
        <v>760</v>
      </c>
      <c r="B762" s="29">
        <v>7067839</v>
      </c>
      <c r="C762" s="29" t="str">
        <f ca="1">IFERROR(__xludf.DUMMYFUNCTION("GOOGLETRANSLATE(C2585,""en"",""hr"")"),"Crijevo")</f>
        <v>Crijevo</v>
      </c>
      <c r="D762" s="28" t="s">
        <v>11</v>
      </c>
      <c r="E762" s="29">
        <v>1</v>
      </c>
      <c r="F762" s="17"/>
    </row>
    <row r="763" spans="1:6" ht="25.5" customHeight="1" x14ac:dyDescent="0.2">
      <c r="A763" s="27">
        <v>761</v>
      </c>
      <c r="B763" s="29">
        <v>7067850</v>
      </c>
      <c r="C763" s="29" t="str">
        <f ca="1">IFERROR(__xludf.DUMMYFUNCTION("GOOGLETRANSLATE(C6270,""en"",""hr"")"),"Kabelski svežanj (+CA)")</f>
        <v>Kabelski svežanj (+CA)</v>
      </c>
      <c r="D763" s="28" t="s">
        <v>11</v>
      </c>
      <c r="E763" s="29">
        <v>1</v>
      </c>
      <c r="F763" s="17"/>
    </row>
    <row r="764" spans="1:6" ht="25.5" customHeight="1" x14ac:dyDescent="0.2">
      <c r="A764" s="27">
        <v>762</v>
      </c>
      <c r="B764" s="29">
        <v>7067853</v>
      </c>
      <c r="C764" s="29" t="str">
        <f ca="1">IFERROR(__xludf.DUMMYFUNCTION("GOOGLETRANSLATE(C1537,""en"",""hr"")"),"Kabelska hidraulika / ventilator / glavna vodena pumpa")</f>
        <v>Kabelska hidraulika / ventilator / glavna vodena pumpa</v>
      </c>
      <c r="D764" s="28" t="s">
        <v>11</v>
      </c>
      <c r="E764" s="29">
        <v>1</v>
      </c>
      <c r="F764" s="17"/>
    </row>
    <row r="765" spans="1:6" ht="25.5" customHeight="1" x14ac:dyDescent="0.2">
      <c r="A765" s="27">
        <v>763</v>
      </c>
      <c r="B765" s="29">
        <v>7067874</v>
      </c>
      <c r="C765" s="29" t="str">
        <f ca="1">IFERROR(__xludf.DUMMYFUNCTION("GOOGLETRANSLATE(C1519,""en"",""hr"")"),"Ožičenje")</f>
        <v>Ožičenje</v>
      </c>
      <c r="D765" s="28" t="s">
        <v>11</v>
      </c>
      <c r="E765" s="29">
        <v>1</v>
      </c>
      <c r="F765" s="17"/>
    </row>
    <row r="766" spans="1:6" ht="25.5" customHeight="1" x14ac:dyDescent="0.2">
      <c r="A766" s="27">
        <v>764</v>
      </c>
      <c r="B766" s="29">
        <v>7067875</v>
      </c>
      <c r="C766" s="29" t="str">
        <f ca="1">IFERROR(__xludf.DUMMYFUNCTION("GOOGLETRANSLATE(C1522,""en"",""hr"")"),"Ožičenje")</f>
        <v>Ožičenje</v>
      </c>
      <c r="D766" s="28" t="s">
        <v>11</v>
      </c>
      <c r="E766" s="29">
        <v>1</v>
      </c>
      <c r="F766" s="17"/>
    </row>
    <row r="767" spans="1:6" ht="25.5" customHeight="1" x14ac:dyDescent="0.2">
      <c r="A767" s="27">
        <v>765</v>
      </c>
      <c r="B767" s="29">
        <v>7067882</v>
      </c>
      <c r="C767" s="29" t="str">
        <f ca="1">IFERROR(__xludf.DUMMYFUNCTION("GOOGLETRANSLATE(C3364,""en"",""hr"")"),"Kabelski svežanj (+BO-LSH)")</f>
        <v>Kabelski svežanj (+BO-LSH)</v>
      </c>
      <c r="D767" s="28" t="s">
        <v>11</v>
      </c>
      <c r="E767" s="29">
        <v>1</v>
      </c>
      <c r="F767" s="17"/>
    </row>
    <row r="768" spans="1:6" ht="25.5" customHeight="1" x14ac:dyDescent="0.2">
      <c r="A768" s="27">
        <v>766</v>
      </c>
      <c r="B768" s="29">
        <v>7067927</v>
      </c>
      <c r="C768" s="29" t="str">
        <f ca="1">IFERROR(__xludf.DUMMYFUNCTION("GOOGLETRANSLATE(C245,""en"",""hr"")"),"Vodeni cijevni termostat - hladnjak")</f>
        <v>Vodeni cijevni termostat - hladnjak</v>
      </c>
      <c r="D768" s="28" t="s">
        <v>11</v>
      </c>
      <c r="E768" s="29">
        <v>1</v>
      </c>
      <c r="F768" s="17"/>
    </row>
    <row r="769" spans="1:9" ht="25.5" customHeight="1" x14ac:dyDescent="0.2">
      <c r="A769" s="27">
        <v>767</v>
      </c>
      <c r="B769" s="29">
        <v>7067950</v>
      </c>
      <c r="C769" s="29" t="str">
        <f ca="1">IFERROR(__xludf.DUMMYFUNCTION("GOOGLETRANSLATE(C6278,""en"",""hr"")"),"Kabel (+CH-P)")</f>
        <v>Kabel (+CH-P)</v>
      </c>
      <c r="D769" s="28" t="s">
        <v>11</v>
      </c>
      <c r="E769" s="29">
        <v>1</v>
      </c>
      <c r="F769" s="17"/>
    </row>
    <row r="770" spans="1:9" ht="25.5" customHeight="1" x14ac:dyDescent="0.2">
      <c r="A770" s="27">
        <v>768</v>
      </c>
      <c r="B770" s="29">
        <v>7067999</v>
      </c>
      <c r="C770" s="29" t="str">
        <f ca="1">IFERROR(__xludf.DUMMYFUNCTION("GOOGLETRANSLATE(C6323,""en"",""hr"")"),"Držač")</f>
        <v>Držač</v>
      </c>
      <c r="D770" s="28" t="s">
        <v>11</v>
      </c>
      <c r="E770" s="29">
        <v>1</v>
      </c>
      <c r="F770" s="17"/>
      <c r="I770" s="4" t="b">
        <f>INT(F768*100)=(F768*100)</f>
        <v>1</v>
      </c>
    </row>
    <row r="771" spans="1:9" ht="25.5" customHeight="1" x14ac:dyDescent="0.2">
      <c r="A771" s="27">
        <v>769</v>
      </c>
      <c r="B771" s="29">
        <v>7068000</v>
      </c>
      <c r="C771" s="29" t="str">
        <f ca="1">IFERROR(__xludf.DUMMYFUNCTION("GOOGLETRANSLATE(C6318,""en"",""hr"")"),"Prikaz")</f>
        <v>Prikaz</v>
      </c>
      <c r="D771" s="28" t="s">
        <v>11</v>
      </c>
      <c r="E771" s="29">
        <v>1</v>
      </c>
      <c r="F771" s="17"/>
    </row>
    <row r="772" spans="1:9" ht="25.5" customHeight="1" x14ac:dyDescent="0.2">
      <c r="A772" s="27">
        <v>770</v>
      </c>
      <c r="B772" s="29">
        <v>7068036</v>
      </c>
      <c r="C772" s="29" t="str">
        <f ca="1">IFERROR(__xludf.DUMMYFUNCTION("GOOGLETRANSLATE(C6322,""en"",""hr"")"),"Držač")</f>
        <v>Držač</v>
      </c>
      <c r="D772" s="28" t="s">
        <v>11</v>
      </c>
      <c r="E772" s="29">
        <v>1</v>
      </c>
      <c r="F772" s="17"/>
    </row>
    <row r="773" spans="1:9" ht="25.5" customHeight="1" x14ac:dyDescent="0.2">
      <c r="A773" s="27">
        <v>771</v>
      </c>
      <c r="B773" s="29">
        <v>7068058</v>
      </c>
      <c r="C773" s="29" t="str">
        <f ca="1">IFERROR(__xludf.DUMMYFUNCTION("GOOGLETRANSLATE(C5304,""en"",""hr"")"),"Prikaz")</f>
        <v>Prikaz</v>
      </c>
      <c r="D773" s="28" t="s">
        <v>11</v>
      </c>
      <c r="E773" s="29">
        <v>1</v>
      </c>
      <c r="F773" s="17"/>
      <c r="I773" s="4" t="b">
        <f>INT(F771*100)=(F771*100)</f>
        <v>1</v>
      </c>
    </row>
    <row r="774" spans="1:9" ht="25.5" customHeight="1" x14ac:dyDescent="0.2">
      <c r="A774" s="27">
        <v>772</v>
      </c>
      <c r="B774" s="29">
        <v>7068176</v>
      </c>
      <c r="C774" s="29" t="str">
        <f ca="1">IFERROR(__xludf.DUMMYFUNCTION("GOOGLETRANSLATE(C3603,""en"",""hr"")"),"Odvod vode cmpl.")</f>
        <v>Odvod vode cmpl.</v>
      </c>
      <c r="D774" s="28" t="s">
        <v>11</v>
      </c>
      <c r="E774" s="29">
        <v>1</v>
      </c>
      <c r="F774" s="17"/>
    </row>
    <row r="775" spans="1:9" ht="25.5" customHeight="1" x14ac:dyDescent="0.2">
      <c r="A775" s="27">
        <v>773</v>
      </c>
      <c r="B775" s="29">
        <v>7068186</v>
      </c>
      <c r="C775" s="29" t="str">
        <f ca="1">IFERROR(__xludf.DUMMYFUNCTION("GOOGLETRANSLATE(C642,""en"",""hr"")"),"Stražnja osovina")</f>
        <v>Stražnja osovina</v>
      </c>
      <c r="D775" s="28" t="s">
        <v>11</v>
      </c>
      <c r="E775" s="29">
        <v>1</v>
      </c>
      <c r="F775" s="17"/>
    </row>
    <row r="776" spans="1:9" ht="25.5" customHeight="1" x14ac:dyDescent="0.2">
      <c r="A776" s="27">
        <v>774</v>
      </c>
      <c r="B776" s="29">
        <v>7068191</v>
      </c>
      <c r="C776" s="29" t="str">
        <f ca="1">IFERROR(__xludf.DUMMYFUNCTION("GOOGLETRANSLATE(C617,""en"",""hr"")"),"Stražnja osovina")</f>
        <v>Stražnja osovina</v>
      </c>
      <c r="D776" s="28" t="s">
        <v>11</v>
      </c>
      <c r="E776" s="29">
        <v>1</v>
      </c>
      <c r="F776" s="17"/>
    </row>
    <row r="777" spans="1:9" ht="25.5" customHeight="1" x14ac:dyDescent="0.2">
      <c r="A777" s="27">
        <v>775</v>
      </c>
      <c r="B777" s="29">
        <v>7068209</v>
      </c>
      <c r="C777" s="29" t="str">
        <f ca="1">IFERROR(__xludf.DUMMYFUNCTION("GOOGLETRANSLATE(C1503,""en"",""hr"")"),"Pokrivni lim")</f>
        <v>Pokrivni lim</v>
      </c>
      <c r="D777" s="28" t="s">
        <v>11</v>
      </c>
      <c r="E777" s="29">
        <v>1</v>
      </c>
      <c r="F777" s="17"/>
      <c r="I777" s="4" t="b">
        <f>INT(F775*100)=(F775*100)</f>
        <v>1</v>
      </c>
    </row>
    <row r="778" spans="1:9" ht="25.5" customHeight="1" x14ac:dyDescent="0.2">
      <c r="A778" s="27">
        <v>776</v>
      </c>
      <c r="B778" s="29">
        <v>7068217</v>
      </c>
      <c r="C778" s="29" t="str">
        <f ca="1">IFERROR(__xludf.DUMMYFUNCTION("GOOGLETRANSLATE(C1500,""en"",""hr"")"),"Montirajte punjač, ​​grijanje")</f>
        <v>Montirajte punjač, ​​grijanje</v>
      </c>
      <c r="D778" s="28" t="s">
        <v>11</v>
      </c>
      <c r="E778" s="29">
        <v>1</v>
      </c>
      <c r="F778" s="17"/>
    </row>
    <row r="779" spans="1:9" ht="25.5" customHeight="1" x14ac:dyDescent="0.2">
      <c r="A779" s="27">
        <v>777</v>
      </c>
      <c r="B779" s="29">
        <v>7068231</v>
      </c>
      <c r="C779" s="29" t="str">
        <f ca="1">IFERROR(__xludf.DUMMYFUNCTION("GOOGLETRANSLATE(C1501,""en"",""hr"")"),"Pol")</f>
        <v>Pol</v>
      </c>
      <c r="D779" s="28" t="s">
        <v>11</v>
      </c>
      <c r="E779" s="29">
        <v>1</v>
      </c>
      <c r="F779" s="17"/>
    </row>
    <row r="780" spans="1:9" ht="25.5" customHeight="1" x14ac:dyDescent="0.2">
      <c r="A780" s="27">
        <v>778</v>
      </c>
      <c r="B780" s="29">
        <v>7068320</v>
      </c>
      <c r="C780" s="29" t="str">
        <f ca="1">IFERROR(__xludf.DUMMYFUNCTION("GOOGLETRANSLATE(C3568,""en"",""hr"")"),"Crijevo za rekuperaciju do usisnog otvora")</f>
        <v>Crijevo za rekuperaciju do usisnog otvora</v>
      </c>
      <c r="D780" s="28" t="s">
        <v>11</v>
      </c>
      <c r="E780" s="29">
        <v>1</v>
      </c>
      <c r="F780" s="17"/>
    </row>
    <row r="781" spans="1:9" ht="25.5" customHeight="1" x14ac:dyDescent="0.2">
      <c r="A781" s="27">
        <v>779</v>
      </c>
      <c r="B781" s="29">
        <v>7068322</v>
      </c>
      <c r="C781" s="29" t="str">
        <f ca="1">IFERROR(__xludf.DUMMYFUNCTION("GOOGLETRANSLATE(C3616,""en"",""hr"")"),"Montažna ploča za crijevo")</f>
        <v>Montažna ploča za crijevo</v>
      </c>
      <c r="D781" s="28" t="s">
        <v>11</v>
      </c>
      <c r="E781" s="29">
        <v>1</v>
      </c>
      <c r="F781" s="17"/>
    </row>
    <row r="782" spans="1:9" ht="25.5" customHeight="1" x14ac:dyDescent="0.2">
      <c r="A782" s="27">
        <v>780</v>
      </c>
      <c r="B782" s="29">
        <v>7068372</v>
      </c>
      <c r="C782" s="29" t="str">
        <f ca="1">IFERROR(__xludf.DUMMYFUNCTION("GOOGLETRANSLATE(C897,""en"",""hr"")"),"Čahura")</f>
        <v>Čahura</v>
      </c>
      <c r="D782" s="28" t="s">
        <v>11</v>
      </c>
      <c r="E782" s="29">
        <v>1</v>
      </c>
      <c r="F782" s="17"/>
    </row>
    <row r="783" spans="1:9" ht="25.5" customHeight="1" x14ac:dyDescent="0.2">
      <c r="A783" s="27">
        <v>781</v>
      </c>
      <c r="B783" s="29">
        <v>7068377</v>
      </c>
      <c r="C783" s="29" t="str">
        <f ca="1">IFERROR(__xludf.DUMMYFUNCTION("GOOGLETRANSLATE(C1145,""en"",""hr"")"),"Motor")</f>
        <v>Motor</v>
      </c>
      <c r="D783" s="28" t="s">
        <v>11</v>
      </c>
      <c r="E783" s="29">
        <v>1</v>
      </c>
      <c r="F783" s="17"/>
    </row>
    <row r="784" spans="1:9" ht="25.5" customHeight="1" x14ac:dyDescent="0.2">
      <c r="A784" s="27">
        <v>782</v>
      </c>
      <c r="B784" s="29">
        <v>7068518</v>
      </c>
      <c r="C784" s="29" t="str">
        <f ca="1">IFERROR(__xludf.DUMMYFUNCTION("GOOGLETRANSLATE(C5785,""en"",""hr"")"),"Perilica")</f>
        <v>Perilica</v>
      </c>
      <c r="D784" s="28" t="s">
        <v>11</v>
      </c>
      <c r="E784" s="29">
        <v>1</v>
      </c>
      <c r="F784" s="17"/>
    </row>
    <row r="785" spans="1:9" ht="25.5" customHeight="1" x14ac:dyDescent="0.2">
      <c r="A785" s="27">
        <v>783</v>
      </c>
      <c r="B785" s="29">
        <v>7068754</v>
      </c>
      <c r="C785" s="29" t="str">
        <f ca="1">IFERROR(__xludf.DUMMYFUNCTION("GOOGLETRANSLATE(C6623,""en"",""hr"")"),"Kit")</f>
        <v>Kit</v>
      </c>
      <c r="D785" s="28" t="s">
        <v>11</v>
      </c>
      <c r="E785" s="29">
        <v>1</v>
      </c>
      <c r="F785" s="17"/>
    </row>
    <row r="786" spans="1:9" ht="25.5" customHeight="1" x14ac:dyDescent="0.2">
      <c r="A786" s="27">
        <v>784</v>
      </c>
      <c r="B786" s="29">
        <v>7068768</v>
      </c>
      <c r="C786" s="29" t="str">
        <f ca="1">IFERROR(__xludf.DUMMYFUNCTION("GOOGLETRANSLATE(C6029,""en"",""hr"")"),"Cijev")</f>
        <v>Cijev</v>
      </c>
      <c r="D786" s="28" t="s">
        <v>11</v>
      </c>
      <c r="E786" s="29">
        <v>1</v>
      </c>
      <c r="F786" s="17"/>
    </row>
    <row r="787" spans="1:9" ht="25.5" customHeight="1" x14ac:dyDescent="0.2">
      <c r="A787" s="27">
        <v>785</v>
      </c>
      <c r="B787" s="29">
        <v>7068769</v>
      </c>
      <c r="C787" s="29" t="str">
        <f ca="1">IFERROR(__xludf.DUMMYFUNCTION("GOOGLETRANSLATE(C6030,""en"",""hr"")"),"Cijev")</f>
        <v>Cijev</v>
      </c>
      <c r="D787" s="28" t="s">
        <v>11</v>
      </c>
      <c r="E787" s="29">
        <v>1</v>
      </c>
      <c r="F787" s="17"/>
    </row>
    <row r="788" spans="1:9" ht="25.5" customHeight="1" x14ac:dyDescent="0.2">
      <c r="A788" s="27">
        <v>786</v>
      </c>
      <c r="B788" s="29">
        <v>7068770</v>
      </c>
      <c r="C788" s="29" t="str">
        <f ca="1">IFERROR(__xludf.DUMMYFUNCTION("GOOGLETRANSLATE(C6031,""en"",""hr"")"),"Cijev")</f>
        <v>Cijev</v>
      </c>
      <c r="D788" s="28" t="s">
        <v>11</v>
      </c>
      <c r="E788" s="29">
        <v>1</v>
      </c>
      <c r="F788" s="17"/>
    </row>
    <row r="789" spans="1:9" ht="25.5" customHeight="1" x14ac:dyDescent="0.2">
      <c r="A789" s="27">
        <v>787</v>
      </c>
      <c r="B789" s="29">
        <v>7068773</v>
      </c>
      <c r="C789" s="29" t="str">
        <f ca="1">IFERROR(__xludf.DUMMYFUNCTION("GOOGLETRANSLATE(C6034,""en"",""hr"")"),"Cijev")</f>
        <v>Cijev</v>
      </c>
      <c r="D789" s="28" t="s">
        <v>11</v>
      </c>
      <c r="E789" s="29">
        <v>1</v>
      </c>
      <c r="F789" s="17"/>
    </row>
    <row r="790" spans="1:9" ht="25.5" customHeight="1" x14ac:dyDescent="0.2">
      <c r="A790" s="27">
        <v>788</v>
      </c>
      <c r="B790" s="29">
        <v>7068775</v>
      </c>
      <c r="C790" s="29" t="str">
        <f ca="1">IFERROR(__xludf.DUMMYFUNCTION("GOOGLETRANSLATE(C5956,""en"",""hr"")"),"Crijevo")</f>
        <v>Crijevo</v>
      </c>
      <c r="D790" s="28" t="s">
        <v>11</v>
      </c>
      <c r="E790" s="29">
        <v>1</v>
      </c>
      <c r="F790" s="17"/>
    </row>
    <row r="791" spans="1:9" ht="25.5" customHeight="1" x14ac:dyDescent="0.2">
      <c r="A791" s="27">
        <v>789</v>
      </c>
      <c r="B791" s="29">
        <v>7068799</v>
      </c>
      <c r="C791" s="29" t="str">
        <f ca="1">IFERROR(__xludf.DUMMYFUNCTION("GOOGLETRANSLATE(C4313,""en"",""hr"")"),"Poklopac izlaza zraka")</f>
        <v>Poklopac izlaza zraka</v>
      </c>
      <c r="D791" s="28" t="s">
        <v>11</v>
      </c>
      <c r="E791" s="29">
        <v>1</v>
      </c>
      <c r="F791" s="17"/>
    </row>
    <row r="792" spans="1:9" ht="25.5" customHeight="1" x14ac:dyDescent="0.2">
      <c r="A792" s="27">
        <v>790</v>
      </c>
      <c r="B792" s="29">
        <v>7068800</v>
      </c>
      <c r="C792" s="29" t="str">
        <f ca="1">IFERROR(__xludf.DUMMYFUNCTION("GOOGLETRANSLATE(C4468,""en"",""hr"")"),"Ploča s navojem")</f>
        <v>Ploča s navojem</v>
      </c>
      <c r="D792" s="28" t="s">
        <v>11</v>
      </c>
      <c r="E792" s="29">
        <v>1</v>
      </c>
      <c r="F792" s="17"/>
    </row>
    <row r="793" spans="1:9" ht="25.5" customHeight="1" x14ac:dyDescent="0.2">
      <c r="A793" s="27">
        <v>791</v>
      </c>
      <c r="B793" s="29">
        <v>7068803</v>
      </c>
      <c r="C793" s="29" t="str">
        <f ca="1">IFERROR(__xludf.DUMMYFUNCTION("GOOGLETRANSLATE(C5649,""en"",""hr"")"),"Stezaljka za crijevo")</f>
        <v>Stezaljka za crijevo</v>
      </c>
      <c r="D793" s="28" t="s">
        <v>11</v>
      </c>
      <c r="E793" s="29">
        <v>1</v>
      </c>
      <c r="F793" s="17"/>
    </row>
    <row r="794" spans="1:9" ht="25.5" customHeight="1" x14ac:dyDescent="0.2">
      <c r="A794" s="27">
        <v>792</v>
      </c>
      <c r="B794" s="29">
        <v>7068811</v>
      </c>
      <c r="C794" s="29" t="str">
        <f ca="1">IFERROR(__xludf.DUMMYFUNCTION("GOOGLETRANSLATE(C6794,""en"",""hr"")"),"natpis antracit")</f>
        <v>natpis antracit</v>
      </c>
      <c r="D794" s="28" t="s">
        <v>11</v>
      </c>
      <c r="E794" s="29">
        <v>1</v>
      </c>
      <c r="F794" s="17"/>
    </row>
    <row r="795" spans="1:9" ht="25.5" customHeight="1" x14ac:dyDescent="0.2">
      <c r="A795" s="27">
        <v>793</v>
      </c>
      <c r="B795" s="29">
        <v>7068812</v>
      </c>
      <c r="C795" s="29" t="str">
        <f ca="1">IFERROR(__xludf.DUMMYFUNCTION("GOOGLETRANSLATE(C6795,""en"",""hr"")"),"natpis antracit")</f>
        <v>natpis antracit</v>
      </c>
      <c r="D795" s="28" t="s">
        <v>11</v>
      </c>
      <c r="E795" s="29">
        <v>1</v>
      </c>
      <c r="F795" s="17"/>
    </row>
    <row r="796" spans="1:9" ht="25.5" customHeight="1" x14ac:dyDescent="0.2">
      <c r="A796" s="27">
        <v>794</v>
      </c>
      <c r="B796" s="29">
        <v>7068813</v>
      </c>
      <c r="C796" s="29" t="str">
        <f ca="1">IFERROR(__xludf.DUMMYFUNCTION("GOOGLETRANSLATE(C6799,""en"",""hr"")"),"Ljepljiva ploča")</f>
        <v>Ljepljiva ploča</v>
      </c>
      <c r="D796" s="28" t="s">
        <v>11</v>
      </c>
      <c r="E796" s="29">
        <v>1</v>
      </c>
      <c r="F796" s="17"/>
      <c r="I796" s="4" t="b">
        <f>INT(F794*100)=(F794*100)</f>
        <v>1</v>
      </c>
    </row>
    <row r="797" spans="1:9" ht="25.5" customHeight="1" x14ac:dyDescent="0.2">
      <c r="A797" s="27">
        <v>795</v>
      </c>
      <c r="B797" s="29">
        <v>7068814</v>
      </c>
      <c r="C797" s="29" t="str">
        <f ca="1">IFERROR(__xludf.DUMMYFUNCTION("GOOGLETRANSLATE(C6798,""en"",""hr"")"),"Logo")</f>
        <v>Logo</v>
      </c>
      <c r="D797" s="28" t="s">
        <v>11</v>
      </c>
      <c r="E797" s="29">
        <v>1</v>
      </c>
      <c r="F797" s="17"/>
    </row>
    <row r="798" spans="1:9" ht="25.5" customHeight="1" x14ac:dyDescent="0.2">
      <c r="A798" s="27">
        <v>796</v>
      </c>
      <c r="B798" s="29">
        <v>7068817</v>
      </c>
      <c r="C798" s="29" t="str">
        <f ca="1">IFERROR(__xludf.DUMMYFUNCTION("GOOGLETRANSLATE(C4281,""en"",""hr"")"),"Cijev za umetanje")</f>
        <v>Cijev za umetanje</v>
      </c>
      <c r="D798" s="28" t="s">
        <v>11</v>
      </c>
      <c r="E798" s="29">
        <v>1</v>
      </c>
      <c r="F798" s="17"/>
    </row>
    <row r="799" spans="1:9" ht="25.5" customHeight="1" x14ac:dyDescent="0.2">
      <c r="A799" s="27">
        <v>797</v>
      </c>
      <c r="B799" s="29">
        <v>7068828</v>
      </c>
      <c r="C799" s="29" t="str">
        <f ca="1">IFERROR(__xludf.DUMMYFUNCTION("GOOGLETRANSLATE(C4375,""en"",""hr"")"),"Kućište ventilatora Assy")</f>
        <v>Kućište ventilatora Assy</v>
      </c>
      <c r="D799" s="28" t="s">
        <v>11</v>
      </c>
      <c r="E799" s="29">
        <v>1</v>
      </c>
      <c r="F799" s="17"/>
      <c r="I799" s="4" t="b">
        <f>INT(F797*100)=(F797*100)</f>
        <v>1</v>
      </c>
    </row>
    <row r="800" spans="1:9" ht="25.5" customHeight="1" x14ac:dyDescent="0.2">
      <c r="A800" s="27">
        <v>798</v>
      </c>
      <c r="B800" s="29">
        <v>7068833</v>
      </c>
      <c r="C800" s="29" t="str">
        <f ca="1">IFERROR(__xludf.DUMMYFUNCTION("GOOGLETRANSLATE(C4699,""en"",""hr"")"),"brtva")</f>
        <v>brtva</v>
      </c>
      <c r="D800" s="28" t="s">
        <v>11</v>
      </c>
      <c r="E800" s="29">
        <v>1</v>
      </c>
      <c r="F800" s="17"/>
    </row>
    <row r="801" spans="1:9" ht="25.5" customHeight="1" x14ac:dyDescent="0.2">
      <c r="A801" s="27">
        <v>799</v>
      </c>
      <c r="B801" s="29">
        <v>7068889</v>
      </c>
      <c r="C801" s="29" t="str">
        <f ca="1">IFERROR(__xludf.DUMMYFUNCTION("GOOGLETRANSLATE(C292,""en"",""hr"")"),"Ploča")</f>
        <v>Ploča</v>
      </c>
      <c r="D801" s="28" t="s">
        <v>11</v>
      </c>
      <c r="E801" s="29">
        <v>1</v>
      </c>
      <c r="F801" s="17"/>
    </row>
    <row r="802" spans="1:9" ht="25.5" customHeight="1" x14ac:dyDescent="0.2">
      <c r="A802" s="27">
        <v>800</v>
      </c>
      <c r="B802" s="29">
        <v>7068921</v>
      </c>
      <c r="C802" s="29" t="str">
        <f ca="1">IFERROR(__xludf.DUMMYFUNCTION("GOOGLETRANSLATE(C4310,""en"",""hr"")"),"Pokrivni lim")</f>
        <v>Pokrivni lim</v>
      </c>
      <c r="D802" s="28" t="s">
        <v>11</v>
      </c>
      <c r="E802" s="29">
        <v>1</v>
      </c>
      <c r="F802" s="17"/>
    </row>
    <row r="803" spans="1:9" ht="25.5" customHeight="1" x14ac:dyDescent="0.2">
      <c r="A803" s="27">
        <v>801</v>
      </c>
      <c r="B803" s="29">
        <v>7068922</v>
      </c>
      <c r="C803" s="29" t="str">
        <f ca="1">IFERROR(__xludf.DUMMYFUNCTION("GOOGLETRANSLATE(C4311,""en"",""hr"")"),"brtva")</f>
        <v>brtva</v>
      </c>
      <c r="D803" s="28" t="s">
        <v>11</v>
      </c>
      <c r="E803" s="29">
        <v>1</v>
      </c>
      <c r="F803" s="17"/>
      <c r="I803" s="4" t="b">
        <f>INT(F801*100)=(F801*100)</f>
        <v>1</v>
      </c>
    </row>
    <row r="804" spans="1:9" ht="25.5" customHeight="1" x14ac:dyDescent="0.2">
      <c r="A804" s="27">
        <v>802</v>
      </c>
      <c r="B804" s="29">
        <v>7068936</v>
      </c>
      <c r="C804" s="29" t="str">
        <f ca="1">IFERROR(__xludf.DUMMYFUNCTION("GOOGLETRANSLATE(C3882,""en"",""hr"")"),"Kolut kpl.")</f>
        <v>Kolut kpl.</v>
      </c>
      <c r="D804" s="28" t="s">
        <v>11</v>
      </c>
      <c r="E804" s="29">
        <v>1</v>
      </c>
      <c r="F804" s="17"/>
    </row>
    <row r="805" spans="1:9" ht="25.5" customHeight="1" x14ac:dyDescent="0.2">
      <c r="A805" s="27">
        <v>803</v>
      </c>
      <c r="B805" s="29">
        <v>7068940</v>
      </c>
      <c r="C805" s="29" t="str">
        <f ca="1">IFERROR(__xludf.DUMMYFUNCTION("GOOGLETRANSLATE(C6266,""en"",""hr"")"),"Kabelski svežanj (+CC)")</f>
        <v>Kabelski svežanj (+CC)</v>
      </c>
      <c r="D805" s="28" t="s">
        <v>11</v>
      </c>
      <c r="E805" s="29">
        <v>1</v>
      </c>
      <c r="F805" s="17"/>
    </row>
    <row r="806" spans="1:9" ht="25.5" customHeight="1" x14ac:dyDescent="0.2">
      <c r="A806" s="27">
        <v>804</v>
      </c>
      <c r="B806" s="29">
        <v>7069005</v>
      </c>
      <c r="C806" s="29" t="str">
        <f ca="1">IFERROR(__xludf.DUMMYFUNCTION("GOOGLETRANSLATE(C5244,""en"",""hr"")"),"Kabelski svežanj (+CR)")</f>
        <v>Kabelski svežanj (+CR)</v>
      </c>
      <c r="D806" s="28" t="s">
        <v>11</v>
      </c>
      <c r="E806" s="29">
        <v>1</v>
      </c>
      <c r="F806" s="17"/>
    </row>
    <row r="807" spans="1:9" ht="25.5" customHeight="1" x14ac:dyDescent="0.2">
      <c r="A807" s="27">
        <v>805</v>
      </c>
      <c r="B807" s="29">
        <v>7069006</v>
      </c>
      <c r="C807" s="29" t="str">
        <f ca="1">IFERROR(__xludf.DUMMYFUNCTION("GOOGLETRANSLATE(C5252,""en"",""hr"")"),"Kabelski svežanj (+CL)")</f>
        <v>Kabelski svežanj (+CL)</v>
      </c>
      <c r="D807" s="28" t="s">
        <v>11</v>
      </c>
      <c r="E807" s="29">
        <v>1</v>
      </c>
      <c r="F807" s="17"/>
    </row>
    <row r="808" spans="1:9" ht="25.5" customHeight="1" x14ac:dyDescent="0.2">
      <c r="A808" s="27">
        <v>806</v>
      </c>
      <c r="B808" s="29">
        <v>7069033</v>
      </c>
      <c r="C808" s="29" t="str">
        <f ca="1">IFERROR(__xludf.DUMMYFUNCTION("GOOGLETRANSLATE(C1275,""en"",""hr"")"),"Držač")</f>
        <v>Držač</v>
      </c>
      <c r="D808" s="28" t="s">
        <v>11</v>
      </c>
      <c r="E808" s="29">
        <v>1</v>
      </c>
      <c r="F808" s="17"/>
    </row>
    <row r="809" spans="1:9" ht="25.5" customHeight="1" x14ac:dyDescent="0.2">
      <c r="A809" s="27">
        <v>807</v>
      </c>
      <c r="B809" s="29">
        <v>7069074</v>
      </c>
      <c r="C809" s="29" t="str">
        <f ca="1">IFERROR(__xludf.DUMMYFUNCTION("GOOGLETRANSLATE(C3767,""en"",""hr"")"),"Vodena cijev")</f>
        <v>Vodena cijev</v>
      </c>
      <c r="D809" s="28" t="s">
        <v>11</v>
      </c>
      <c r="E809" s="29">
        <v>1</v>
      </c>
      <c r="F809" s="17"/>
    </row>
    <row r="810" spans="1:9" ht="25.5" customHeight="1" x14ac:dyDescent="0.2">
      <c r="A810" s="27">
        <v>808</v>
      </c>
      <c r="B810" s="29">
        <v>7069091</v>
      </c>
      <c r="C810" s="29" t="str">
        <f ca="1">IFERROR(__xludf.DUMMYFUNCTION("GOOGLETRANSLATE(C3766,""en"",""hr"")"),"Crijevo")</f>
        <v>Crijevo</v>
      </c>
      <c r="D810" s="28" t="s">
        <v>11</v>
      </c>
      <c r="E810" s="29">
        <v>1</v>
      </c>
      <c r="F810" s="17"/>
    </row>
    <row r="811" spans="1:9" ht="25.5" customHeight="1" x14ac:dyDescent="0.2">
      <c r="A811" s="27">
        <v>809</v>
      </c>
      <c r="B811" s="29">
        <v>7069094</v>
      </c>
      <c r="C811" s="29" t="str">
        <f ca="1">IFERROR(__xludf.DUMMYFUNCTION("GOOGLETRANSLATE(C45,""en"",""hr"")"),"Deflektor")</f>
        <v>Deflektor</v>
      </c>
      <c r="D811" s="28" t="s">
        <v>11</v>
      </c>
      <c r="E811" s="29">
        <v>1</v>
      </c>
      <c r="F811" s="17"/>
    </row>
    <row r="812" spans="1:9" ht="25.5" customHeight="1" x14ac:dyDescent="0.2">
      <c r="A812" s="27">
        <v>810</v>
      </c>
      <c r="B812" s="29">
        <v>7069102</v>
      </c>
      <c r="C812" s="29" t="str">
        <f ca="1">IFERROR(__xludf.DUMMYFUNCTION("GOOGLETRANSLATE(C247,""en"",""hr"")"),"Vodocijevni hladnjak - ulaz motora")</f>
        <v>Vodocijevni hladnjak - ulaz motora</v>
      </c>
      <c r="D812" s="28" t="s">
        <v>11</v>
      </c>
      <c r="E812" s="29">
        <v>1</v>
      </c>
      <c r="F812" s="17"/>
    </row>
    <row r="813" spans="1:9" ht="25.5" customHeight="1" x14ac:dyDescent="0.2">
      <c r="A813" s="27">
        <v>811</v>
      </c>
      <c r="B813" s="29">
        <v>7069114</v>
      </c>
      <c r="C813" s="29" t="str">
        <f ca="1">IFERROR(__xludf.DUMMYFUNCTION("GOOGLETRANSLATE(C1534,""en"",""hr"")"),"Ožičenje")</f>
        <v>Ožičenje</v>
      </c>
      <c r="D813" s="28" t="s">
        <v>11</v>
      </c>
      <c r="E813" s="29">
        <v>1</v>
      </c>
      <c r="F813" s="17"/>
    </row>
    <row r="814" spans="1:9" ht="25.5" customHeight="1" x14ac:dyDescent="0.2">
      <c r="A814" s="27">
        <v>812</v>
      </c>
      <c r="B814" s="29">
        <v>7069129</v>
      </c>
      <c r="C814" s="29" t="str">
        <f ca="1">IFERROR(__xludf.DUMMYFUNCTION("GOOGLETRANSLATE(C5794,""en"",""hr"")"),"Zupčasta pumpa")</f>
        <v>Zupčasta pumpa</v>
      </c>
      <c r="D814" s="28" t="s">
        <v>11</v>
      </c>
      <c r="E814" s="29">
        <v>1</v>
      </c>
      <c r="F814" s="17"/>
    </row>
    <row r="815" spans="1:9" ht="25.5" customHeight="1" x14ac:dyDescent="0.2">
      <c r="A815" s="27">
        <v>813</v>
      </c>
      <c r="B815" s="29">
        <v>7069137</v>
      </c>
      <c r="C815" s="29" t="str">
        <f ca="1">IFERROR(__xludf.DUMMYFUNCTION("GOOGLETRANSLATE(C47,""en"",""hr"")"),"Mat")</f>
        <v>Mat</v>
      </c>
      <c r="D815" s="28" t="s">
        <v>11</v>
      </c>
      <c r="E815" s="29">
        <v>1</v>
      </c>
      <c r="F815" s="17"/>
    </row>
    <row r="816" spans="1:9" ht="25.5" customHeight="1" x14ac:dyDescent="0.2">
      <c r="A816" s="27">
        <v>814</v>
      </c>
      <c r="B816" s="29">
        <v>7069146</v>
      </c>
      <c r="C816" s="29" t="str">
        <f ca="1">IFERROR(__xludf.DUMMYFUNCTION("GOOGLETRANSLATE(C6272,""en"",""hr"")"),"Ožičenje (+CH)")</f>
        <v>Ožičenje (+CH)</v>
      </c>
      <c r="D816" s="28" t="s">
        <v>11</v>
      </c>
      <c r="E816" s="29">
        <v>1</v>
      </c>
      <c r="F816" s="17"/>
    </row>
    <row r="817" spans="1:9" ht="25.5" customHeight="1" x14ac:dyDescent="0.2">
      <c r="A817" s="27">
        <v>815</v>
      </c>
      <c r="B817" s="29">
        <v>7069152</v>
      </c>
      <c r="C817" s="29" t="str">
        <f ca="1">IFERROR(__xludf.DUMMYFUNCTION("GOOGLETRANSLATE(C5788,""en"",""hr"")"),"Cijev")</f>
        <v>Cijev</v>
      </c>
      <c r="D817" s="28" t="s">
        <v>11</v>
      </c>
      <c r="E817" s="29">
        <v>1</v>
      </c>
      <c r="F817" s="17"/>
    </row>
    <row r="818" spans="1:9" ht="25.5" customHeight="1" x14ac:dyDescent="0.2">
      <c r="A818" s="27">
        <v>816</v>
      </c>
      <c r="B818" s="29">
        <v>7069159</v>
      </c>
      <c r="C818" s="29" t="str">
        <f ca="1">IFERROR(__xludf.DUMMYFUNCTION("GOOGLETRANSLATE(C4384,""en"",""hr"")"),"Poklopac ventilatora Assy")</f>
        <v>Poklopac ventilatora Assy</v>
      </c>
      <c r="D818" s="28" t="s">
        <v>11</v>
      </c>
      <c r="E818" s="29">
        <v>1</v>
      </c>
      <c r="F818" s="17"/>
    </row>
    <row r="819" spans="1:9" ht="25.5" customHeight="1" x14ac:dyDescent="0.2">
      <c r="A819" s="27">
        <v>817</v>
      </c>
      <c r="B819" s="29">
        <v>7069164</v>
      </c>
      <c r="C819" s="29" t="str">
        <f ca="1">IFERROR(__xludf.DUMMYFUNCTION("GOOGLETRANSLATE(C5787,""en"",""hr"")"),"Cijev")</f>
        <v>Cijev</v>
      </c>
      <c r="D819" s="28" t="s">
        <v>11</v>
      </c>
      <c r="E819" s="29">
        <v>1</v>
      </c>
      <c r="F819" s="17"/>
    </row>
    <row r="820" spans="1:9" ht="25.5" customHeight="1" x14ac:dyDescent="0.2">
      <c r="A820" s="27">
        <v>818</v>
      </c>
      <c r="B820" s="29">
        <v>7069182</v>
      </c>
      <c r="C820" s="29" t="str">
        <f ca="1">IFERROR(__xludf.DUMMYFUNCTION("GOOGLETRANSLATE(C1277,""en"",""hr"")"),"Držač")</f>
        <v>Držač</v>
      </c>
      <c r="D820" s="28" t="s">
        <v>11</v>
      </c>
      <c r="E820" s="29">
        <v>1</v>
      </c>
      <c r="F820" s="17"/>
      <c r="I820" s="4" t="b">
        <f>INT(F465*100)=(F465*100)</f>
        <v>1</v>
      </c>
    </row>
    <row r="821" spans="1:9" ht="25.5" customHeight="1" x14ac:dyDescent="0.2">
      <c r="A821" s="27">
        <v>819</v>
      </c>
      <c r="B821" s="29">
        <v>7069208</v>
      </c>
      <c r="C821" s="29" t="str">
        <f ca="1">IFERROR(__xludf.DUMMYFUNCTION("GOOGLETRANSLATE(C3414,""en"",""hr"")"),"Čahura")</f>
        <v>Čahura</v>
      </c>
      <c r="D821" s="28" t="s">
        <v>11</v>
      </c>
      <c r="E821" s="29">
        <v>1</v>
      </c>
      <c r="F821" s="17"/>
    </row>
    <row r="822" spans="1:9" ht="25.5" customHeight="1" x14ac:dyDescent="0.2">
      <c r="A822" s="27">
        <v>820</v>
      </c>
      <c r="B822" s="29">
        <v>7069210</v>
      </c>
      <c r="C822" s="29" t="str">
        <f ca="1">IFERROR(__xludf.DUMMYFUNCTION("GOOGLETRANSLATE(C6258,""en"",""hr"")"),"Kabelski zaslon 4,3""")</f>
        <v>Kabelski zaslon 4,3"</v>
      </c>
      <c r="D822" s="28" t="s">
        <v>11</v>
      </c>
      <c r="E822" s="29">
        <v>1</v>
      </c>
      <c r="F822" s="17"/>
    </row>
    <row r="823" spans="1:9" ht="25.5" customHeight="1" x14ac:dyDescent="0.2">
      <c r="A823" s="27">
        <v>821</v>
      </c>
      <c r="B823" s="29">
        <v>7069229</v>
      </c>
      <c r="C823" s="29" t="str">
        <f ca="1">IFERROR(__xludf.DUMMYFUNCTION("GOOGLETRANSLATE(C4646,""en"",""hr"")"),"Cijev")</f>
        <v>Cijev</v>
      </c>
      <c r="D823" s="28" t="s">
        <v>11</v>
      </c>
      <c r="E823" s="29">
        <v>1</v>
      </c>
      <c r="F823" s="17"/>
    </row>
    <row r="824" spans="1:9" ht="25.5" customHeight="1" x14ac:dyDescent="0.2">
      <c r="A824" s="27">
        <v>822</v>
      </c>
      <c r="B824" s="29">
        <v>7069230</v>
      </c>
      <c r="C824" s="29" t="str">
        <f ca="1">IFERROR(__xludf.DUMMYFUNCTION("GOOGLETRANSLATE(C4647,""en"",""hr"")"),"Cijev")</f>
        <v>Cijev</v>
      </c>
      <c r="D824" s="28" t="s">
        <v>11</v>
      </c>
      <c r="E824" s="29">
        <v>1</v>
      </c>
      <c r="F824" s="17"/>
      <c r="I824" s="4" t="b">
        <f>INT(F822*100)=(F822*100)</f>
        <v>1</v>
      </c>
    </row>
    <row r="825" spans="1:9" ht="25.5" customHeight="1" x14ac:dyDescent="0.2">
      <c r="A825" s="27">
        <v>823</v>
      </c>
      <c r="B825" s="29">
        <v>7069242</v>
      </c>
      <c r="C825" s="29" t="str">
        <f ca="1">IFERROR(__xludf.DUMMYFUNCTION("GOOGLETRANSLATE(C4545,""en"",""hr"")"),"Cijev")</f>
        <v>Cijev</v>
      </c>
      <c r="D825" s="28" t="s">
        <v>11</v>
      </c>
      <c r="E825" s="29">
        <v>1</v>
      </c>
      <c r="F825" s="17"/>
    </row>
    <row r="826" spans="1:9" ht="25.5" customHeight="1" x14ac:dyDescent="0.2">
      <c r="A826" s="27">
        <v>824</v>
      </c>
      <c r="B826" s="29">
        <v>7069250</v>
      </c>
      <c r="C826" s="29" t="str">
        <f ca="1">IFERROR(__xludf.DUMMYFUNCTION("GOOGLETRANSLATE(C4955,""en"",""hr"")"),"Zaštita na desnoj strani")</f>
        <v>Zaštita na desnoj strani</v>
      </c>
      <c r="D826" s="28" t="s">
        <v>11</v>
      </c>
      <c r="E826" s="29">
        <v>1</v>
      </c>
      <c r="F826" s="17"/>
    </row>
    <row r="827" spans="1:9" ht="25.5" customHeight="1" x14ac:dyDescent="0.2">
      <c r="A827" s="27">
        <v>825</v>
      </c>
      <c r="B827" s="29">
        <v>7069251</v>
      </c>
      <c r="C827" s="29" t="str">
        <f ca="1">IFERROR(__xludf.DUMMYFUNCTION("GOOGLETRANSLATE(C6514,""en"",""hr"")"),"Držač")</f>
        <v>Držač</v>
      </c>
      <c r="D827" s="28" t="s">
        <v>11</v>
      </c>
      <c r="E827" s="29">
        <v>1</v>
      </c>
      <c r="F827" s="17"/>
    </row>
    <row r="828" spans="1:9" ht="25.5" customHeight="1" x14ac:dyDescent="0.2">
      <c r="A828" s="27">
        <v>826</v>
      </c>
      <c r="B828" s="29">
        <v>7069252</v>
      </c>
      <c r="C828" s="29" t="str">
        <f ca="1">IFERROR(__xludf.DUMMYFUNCTION("GOOGLETRANSLATE(C4954,""en"",""hr"")"),"Zaštita lijevo")</f>
        <v>Zaštita lijevo</v>
      </c>
      <c r="D828" s="28" t="s">
        <v>11</v>
      </c>
      <c r="E828" s="29">
        <v>1</v>
      </c>
      <c r="F828" s="17"/>
    </row>
    <row r="829" spans="1:9" ht="25.5" customHeight="1" x14ac:dyDescent="0.2">
      <c r="A829" s="27">
        <v>827</v>
      </c>
      <c r="B829" s="29">
        <v>7069264</v>
      </c>
      <c r="C829" s="29" t="str">
        <f ca="1">IFERROR(__xludf.DUMMYFUNCTION("GOOGLETRANSLATE(C4542,""en"",""hr"")"),"Cijev")</f>
        <v>Cijev</v>
      </c>
      <c r="D829" s="28" t="s">
        <v>11</v>
      </c>
      <c r="E829" s="29">
        <v>1</v>
      </c>
      <c r="F829" s="17"/>
    </row>
    <row r="830" spans="1:9" ht="25.5" customHeight="1" x14ac:dyDescent="0.2">
      <c r="A830" s="27">
        <v>828</v>
      </c>
      <c r="B830" s="29">
        <v>7069268</v>
      </c>
      <c r="C830" s="29" t="str">
        <f ca="1">IFERROR(__xludf.DUMMYFUNCTION("GOOGLETRANSLATE(C6787,""en"",""hr"")"),"Ljepljiva ploča")</f>
        <v>Ljepljiva ploča</v>
      </c>
      <c r="D830" s="28" t="s">
        <v>11</v>
      </c>
      <c r="E830" s="29">
        <v>1</v>
      </c>
      <c r="F830" s="17"/>
    </row>
    <row r="831" spans="1:9" ht="25.5" customHeight="1" x14ac:dyDescent="0.2">
      <c r="A831" s="27">
        <v>829</v>
      </c>
      <c r="B831" s="29">
        <v>7069269</v>
      </c>
      <c r="C831" s="29" t="str">
        <f ca="1">IFERROR(__xludf.DUMMYFUNCTION("GOOGLETRANSLATE(C4486,""en"",""hr"")"),"Poklopac")</f>
        <v>Poklopac</v>
      </c>
      <c r="D831" s="28" t="s">
        <v>11</v>
      </c>
      <c r="E831" s="29">
        <v>1</v>
      </c>
      <c r="F831" s="17"/>
    </row>
    <row r="832" spans="1:9" ht="25.5" customHeight="1" x14ac:dyDescent="0.2">
      <c r="A832" s="27">
        <v>830</v>
      </c>
      <c r="B832" s="29">
        <v>7069274</v>
      </c>
      <c r="C832" s="29" t="str">
        <f ca="1">IFERROR(__xludf.DUMMYFUNCTION("GOOGLETRANSLATE(C4543,""en"",""hr"")"),"Cijev")</f>
        <v>Cijev</v>
      </c>
      <c r="D832" s="28" t="s">
        <v>11</v>
      </c>
      <c r="E832" s="29">
        <v>1</v>
      </c>
      <c r="F832" s="17"/>
    </row>
    <row r="833" spans="1:9" ht="25.5" customHeight="1" x14ac:dyDescent="0.2">
      <c r="A833" s="27">
        <v>831</v>
      </c>
      <c r="B833" s="29">
        <v>7069275</v>
      </c>
      <c r="C833" s="29" t="str">
        <f ca="1">IFERROR(__xludf.DUMMYFUNCTION("GOOGLETRANSLATE(C4544,""en"",""hr"")"),"Cijev")</f>
        <v>Cijev</v>
      </c>
      <c r="D833" s="28" t="s">
        <v>11</v>
      </c>
      <c r="E833" s="29">
        <v>1</v>
      </c>
      <c r="F833" s="17"/>
    </row>
    <row r="834" spans="1:9" ht="25.5" customHeight="1" x14ac:dyDescent="0.2">
      <c r="A834" s="27">
        <v>832</v>
      </c>
      <c r="B834" s="29">
        <v>7069282</v>
      </c>
      <c r="C834" s="29" t="str">
        <f ca="1">IFERROR(__xludf.DUMMYFUNCTION("GOOGLETRANSLATE(C4652,""en"",""hr"")"),"Cijev")</f>
        <v>Cijev</v>
      </c>
      <c r="D834" s="28" t="s">
        <v>11</v>
      </c>
      <c r="E834" s="29">
        <v>1</v>
      </c>
      <c r="F834" s="17"/>
    </row>
    <row r="835" spans="1:9" ht="25.5" customHeight="1" x14ac:dyDescent="0.2">
      <c r="A835" s="27">
        <v>833</v>
      </c>
      <c r="B835" s="29">
        <v>7069310</v>
      </c>
      <c r="C835" s="29" t="str">
        <f ca="1">IFERROR(__xludf.DUMMYFUNCTION("GOOGLETRANSLATE(C4483,""en"",""hr"")"),"Poklopac okvira")</f>
        <v>Poklopac okvira</v>
      </c>
      <c r="D835" s="28" t="s">
        <v>11</v>
      </c>
      <c r="E835" s="29">
        <v>1</v>
      </c>
      <c r="F835" s="17"/>
    </row>
    <row r="836" spans="1:9" ht="25.5" customHeight="1" x14ac:dyDescent="0.2">
      <c r="A836" s="27">
        <v>834</v>
      </c>
      <c r="B836" s="29">
        <v>7069311</v>
      </c>
      <c r="C836" s="29" t="str">
        <f ca="1">IFERROR(__xludf.DUMMYFUNCTION("GOOGLETRANSLATE(C4484,""en"",""hr"")"),"Zglobno sito")</f>
        <v>Zglobno sito</v>
      </c>
      <c r="D836" s="28" t="s">
        <v>11</v>
      </c>
      <c r="E836" s="29">
        <v>1</v>
      </c>
      <c r="F836" s="17"/>
    </row>
    <row r="837" spans="1:9" ht="25.5" customHeight="1" x14ac:dyDescent="0.2">
      <c r="A837" s="27">
        <v>835</v>
      </c>
      <c r="B837" s="29">
        <v>7069312</v>
      </c>
      <c r="C837" s="29" t="str">
        <f ca="1">IFERROR(__xludf.DUMMYFUNCTION("GOOGLETRANSLATE(C4485,""en"",""hr"")"),"Zasun za zaključavanje")</f>
        <v>Zasun za zaključavanje</v>
      </c>
      <c r="D837" s="28" t="s">
        <v>11</v>
      </c>
      <c r="E837" s="29">
        <v>1</v>
      </c>
      <c r="F837" s="17"/>
    </row>
    <row r="838" spans="1:9" ht="25.5" customHeight="1" x14ac:dyDescent="0.2">
      <c r="A838" s="27">
        <v>836</v>
      </c>
      <c r="B838" s="29">
        <v>7069313</v>
      </c>
      <c r="C838" s="29" t="str">
        <f ca="1">IFERROR(__xludf.DUMMYFUNCTION("GOOGLETRANSLATE(C4458,""en"",""hr"")"),"Poklopac okvira Assy")</f>
        <v>Poklopac okvira Assy</v>
      </c>
      <c r="D838" s="28" t="s">
        <v>11</v>
      </c>
      <c r="E838" s="29">
        <v>1</v>
      </c>
      <c r="F838" s="17"/>
    </row>
    <row r="839" spans="1:9" ht="25.5" customHeight="1" x14ac:dyDescent="0.2">
      <c r="A839" s="27">
        <v>837</v>
      </c>
      <c r="B839" s="29">
        <v>7069322</v>
      </c>
      <c r="C839" s="29" t="str">
        <f ca="1">IFERROR(__xludf.DUMMYFUNCTION("GOOGLETRANSLATE(C5773,""en"",""hr"")"),"Crijevo hladnjaka")</f>
        <v>Crijevo hladnjaka</v>
      </c>
      <c r="D839" s="28" t="s">
        <v>11</v>
      </c>
      <c r="E839" s="29">
        <v>1</v>
      </c>
      <c r="F839" s="17"/>
    </row>
    <row r="840" spans="1:9" ht="25.5" customHeight="1" x14ac:dyDescent="0.2">
      <c r="A840" s="27">
        <v>838</v>
      </c>
      <c r="B840" s="29">
        <v>7069327</v>
      </c>
      <c r="C840" s="29" t="str">
        <f ca="1">IFERROR(__xludf.DUMMYFUNCTION("GOOGLETRANSLATE(C3506,""en"",""hr"")"),"Crijevo Ø102x4")</f>
        <v>Crijevo Ø102x4</v>
      </c>
      <c r="D840" s="28" t="s">
        <v>11</v>
      </c>
      <c r="E840" s="29">
        <v>1</v>
      </c>
      <c r="F840" s="17"/>
    </row>
    <row r="841" spans="1:9" ht="25.5" customHeight="1" x14ac:dyDescent="0.2">
      <c r="A841" s="27">
        <v>839</v>
      </c>
      <c r="B841" s="29">
        <v>7069345</v>
      </c>
      <c r="C841" s="29" t="str">
        <f ca="1">IFERROR(__xludf.DUMMYFUNCTION("GOOGLETRANSLATE(C4461,""en"",""hr"")"),"Filter za plijesan")</f>
        <v>Filter za plijesan</v>
      </c>
      <c r="D841" s="28" t="s">
        <v>11</v>
      </c>
      <c r="E841" s="29">
        <v>1</v>
      </c>
      <c r="F841" s="17"/>
    </row>
    <row r="842" spans="1:9" ht="25.5" customHeight="1" x14ac:dyDescent="0.2">
      <c r="A842" s="27">
        <v>840</v>
      </c>
      <c r="B842" s="29">
        <v>7069346</v>
      </c>
      <c r="C842" s="29" t="str">
        <f ca="1">IFERROR(__xludf.DUMMYFUNCTION("GOOGLETRANSLATE(C1318,""en"",""hr"")"),"Razmakni grm")</f>
        <v>Razmakni grm</v>
      </c>
      <c r="D842" s="28" t="s">
        <v>11</v>
      </c>
      <c r="E842" s="29">
        <v>1</v>
      </c>
      <c r="F842" s="17"/>
    </row>
    <row r="843" spans="1:9" ht="25.5" customHeight="1" x14ac:dyDescent="0.2">
      <c r="A843" s="27">
        <v>841</v>
      </c>
      <c r="B843" s="29">
        <v>7069350</v>
      </c>
      <c r="C843" s="29" t="str">
        <f ca="1">IFERROR(__xludf.DUMMYFUNCTION("GOOGLETRANSLATE(C4460,""en"",""hr"")"),"Okvirno sito")</f>
        <v>Okvirno sito</v>
      </c>
      <c r="D843" s="28" t="s">
        <v>11</v>
      </c>
      <c r="E843" s="29">
        <v>1</v>
      </c>
      <c r="F843" s="17"/>
      <c r="I843" s="4" t="b">
        <f>INT(F841*100)=(F841*100)</f>
        <v>1</v>
      </c>
    </row>
    <row r="844" spans="1:9" ht="25.5" customHeight="1" x14ac:dyDescent="0.2">
      <c r="A844" s="27">
        <v>842</v>
      </c>
      <c r="B844" s="29">
        <v>7069351</v>
      </c>
      <c r="C844" s="29" t="str">
        <f ca="1">IFERROR(__xludf.DUMMYFUNCTION("GOOGLETRANSLATE(C4459,""en"",""hr"")"),"Filter za plijesan")</f>
        <v>Filter za plijesan</v>
      </c>
      <c r="D844" s="28" t="s">
        <v>11</v>
      </c>
      <c r="E844" s="29">
        <v>1</v>
      </c>
      <c r="F844" s="17"/>
    </row>
    <row r="845" spans="1:9" ht="25.5" customHeight="1" x14ac:dyDescent="0.2">
      <c r="A845" s="27">
        <v>843</v>
      </c>
      <c r="B845" s="29">
        <v>7069358</v>
      </c>
      <c r="C845" s="29" t="str">
        <f ca="1">IFERROR(__xludf.DUMMYFUNCTION("GOOGLETRANSLATE(C6280,""en"",""hr"")"),"Glavni prekidač (+O-CH)")</f>
        <v>Glavni prekidač (+O-CH)</v>
      </c>
      <c r="D845" s="28" t="s">
        <v>11</v>
      </c>
      <c r="E845" s="29">
        <v>1</v>
      </c>
      <c r="F845" s="17"/>
    </row>
    <row r="846" spans="1:9" ht="25.5" customHeight="1" x14ac:dyDescent="0.2">
      <c r="A846" s="27">
        <v>844</v>
      </c>
      <c r="B846" s="29">
        <v>7069359</v>
      </c>
      <c r="C846" s="29" t="str">
        <f ca="1">IFERROR(__xludf.DUMMYFUNCTION("GOOGLETRANSLATE(C6279,""en"",""hr"")"),"Kabel (+CH-P)")</f>
        <v>Kabel (+CH-P)</v>
      </c>
      <c r="D846" s="28" t="s">
        <v>11</v>
      </c>
      <c r="E846" s="29">
        <v>1</v>
      </c>
      <c r="F846" s="17"/>
      <c r="I846" s="4" t="b">
        <f>INT(F844*100)=(F844*100)</f>
        <v>1</v>
      </c>
    </row>
    <row r="847" spans="1:9" ht="25.5" customHeight="1" x14ac:dyDescent="0.2">
      <c r="A847" s="27">
        <v>845</v>
      </c>
      <c r="B847" s="29">
        <v>7069423</v>
      </c>
      <c r="C847" s="29" t="str">
        <f ca="1">IFERROR(__xludf.DUMMYFUNCTION("GOOGLETRANSLATE(C4768,""en"",""hr"")"),"Poklopac, bijeli")</f>
        <v>Poklopac, bijeli</v>
      </c>
      <c r="D847" s="28" t="s">
        <v>11</v>
      </c>
      <c r="E847" s="29">
        <v>1</v>
      </c>
      <c r="F847" s="17"/>
    </row>
    <row r="848" spans="1:9" ht="25.5" customHeight="1" x14ac:dyDescent="0.2">
      <c r="A848" s="27">
        <v>846</v>
      </c>
      <c r="B848" s="29">
        <v>7069425</v>
      </c>
      <c r="C848" s="29" t="str">
        <f ca="1">IFERROR(__xludf.DUMMYFUNCTION("GOOGLETRANSLATE(C4767,""en"",""hr"")"),"Poklopac, bijeli")</f>
        <v>Poklopac, bijeli</v>
      </c>
      <c r="D848" s="28" t="s">
        <v>11</v>
      </c>
      <c r="E848" s="29">
        <v>1</v>
      </c>
      <c r="F848" s="17"/>
    </row>
    <row r="849" spans="1:9" ht="25.5" customHeight="1" x14ac:dyDescent="0.2">
      <c r="A849" s="27">
        <v>847</v>
      </c>
      <c r="B849" s="29">
        <v>7069429</v>
      </c>
      <c r="C849" s="29" t="str">
        <f ca="1">IFERROR(__xludf.DUMMYFUNCTION("GOOGLETRANSLATE(C1903,""en"",""hr"")"),"Otpuštanje opruge bočne četke")</f>
        <v>Otpuštanje opruge bočne četke</v>
      </c>
      <c r="D849" s="28" t="s">
        <v>11</v>
      </c>
      <c r="E849" s="29">
        <v>1</v>
      </c>
      <c r="F849" s="17"/>
    </row>
    <row r="850" spans="1:9" ht="25.5" customHeight="1" x14ac:dyDescent="0.2">
      <c r="A850" s="27">
        <v>848</v>
      </c>
      <c r="B850" s="29">
        <v>7069447</v>
      </c>
      <c r="C850" s="29" t="str">
        <f ca="1">IFERROR(__xludf.DUMMYFUNCTION("GOOGLETRANSLATE(C4769,""en"",""hr"")"),"Poklopac, bijeli")</f>
        <v>Poklopac, bijeli</v>
      </c>
      <c r="D850" s="28" t="s">
        <v>11</v>
      </c>
      <c r="E850" s="29">
        <v>1</v>
      </c>
      <c r="F850" s="17"/>
      <c r="I850" s="4" t="b">
        <f>INT(F848*100)=(F848*100)</f>
        <v>1</v>
      </c>
    </row>
    <row r="851" spans="1:9" ht="25.5" customHeight="1" x14ac:dyDescent="0.2">
      <c r="A851" s="27">
        <v>849</v>
      </c>
      <c r="B851" s="29">
        <v>7069477</v>
      </c>
      <c r="C851" s="29" t="str">
        <f ca="1">IFERROR(__xludf.DUMMYFUNCTION("GOOGLETRANSLATE(C4870,""en"",""hr"")"),"Poklopac, bijeli")</f>
        <v>Poklopac, bijeli</v>
      </c>
      <c r="D851" s="28" t="s">
        <v>11</v>
      </c>
      <c r="E851" s="29">
        <v>1</v>
      </c>
      <c r="F851" s="17"/>
    </row>
    <row r="852" spans="1:9" ht="25.5" customHeight="1" x14ac:dyDescent="0.2">
      <c r="A852" s="27">
        <v>850</v>
      </c>
      <c r="B852" s="29">
        <v>7069506</v>
      </c>
      <c r="C852" s="29" t="str">
        <f ca="1">IFERROR(__xludf.DUMMYFUNCTION("GOOGLETRANSLATE(C4561,""en"",""hr"")"),"Cijev")</f>
        <v>Cijev</v>
      </c>
      <c r="D852" s="28" t="s">
        <v>11</v>
      </c>
      <c r="E852" s="29">
        <v>1</v>
      </c>
      <c r="F852" s="17"/>
    </row>
    <row r="853" spans="1:9" ht="25.5" customHeight="1" x14ac:dyDescent="0.2">
      <c r="A853" s="27">
        <v>851</v>
      </c>
      <c r="B853" s="29">
        <v>7069510</v>
      </c>
      <c r="C853" s="29" t="str">
        <f ca="1">IFERROR(__xludf.DUMMYFUNCTION("GOOGLETRANSLATE(C3422,""en"",""hr"")"),"Cijev")</f>
        <v>Cijev</v>
      </c>
      <c r="D853" s="28" t="s">
        <v>11</v>
      </c>
      <c r="E853" s="29">
        <v>1</v>
      </c>
      <c r="F853" s="17"/>
    </row>
    <row r="854" spans="1:9" ht="25.5" customHeight="1" x14ac:dyDescent="0.2">
      <c r="A854" s="27">
        <v>852</v>
      </c>
      <c r="B854" s="29">
        <v>7069528</v>
      </c>
      <c r="C854" s="29" t="str">
        <f ca="1">IFERROR(__xludf.DUMMYFUNCTION("GOOGLETRANSLATE(C5358,""en"",""hr"")"),"Ploča")</f>
        <v>Ploča</v>
      </c>
      <c r="D854" s="28" t="s">
        <v>11</v>
      </c>
      <c r="E854" s="29">
        <v>1</v>
      </c>
      <c r="F854" s="17"/>
    </row>
    <row r="855" spans="1:9" ht="25.5" customHeight="1" x14ac:dyDescent="0.2">
      <c r="A855" s="27">
        <v>853</v>
      </c>
      <c r="B855" s="29">
        <v>7069544</v>
      </c>
      <c r="C855" s="29" t="str">
        <f ca="1">IFERROR(__xludf.DUMMYFUNCTION("GOOGLETRANSLATE(C5797,""en"",""hr"")"),"Cijev")</f>
        <v>Cijev</v>
      </c>
      <c r="D855" s="28" t="s">
        <v>11</v>
      </c>
      <c r="E855" s="29">
        <v>1</v>
      </c>
      <c r="F855" s="17"/>
    </row>
    <row r="856" spans="1:9" ht="25.5" customHeight="1" x14ac:dyDescent="0.2">
      <c r="A856" s="27">
        <v>854</v>
      </c>
      <c r="B856" s="29">
        <v>7069547</v>
      </c>
      <c r="C856" s="29" t="str">
        <f ca="1">IFERROR(__xludf.DUMMYFUNCTION("GOOGLETRANSLATE(C5798,""en"",""hr"")"),"Cijev")</f>
        <v>Cijev</v>
      </c>
      <c r="D856" s="28" t="s">
        <v>11</v>
      </c>
      <c r="E856" s="29">
        <v>1</v>
      </c>
      <c r="F856" s="17"/>
    </row>
    <row r="857" spans="1:9" ht="25.5" customHeight="1" x14ac:dyDescent="0.2">
      <c r="A857" s="27">
        <v>855</v>
      </c>
      <c r="B857" s="29">
        <v>7069625</v>
      </c>
      <c r="C857" s="29" t="str">
        <f ca="1">IFERROR(__xludf.DUMMYFUNCTION("GOOGLETRANSLATE(C4351,""en"",""hr"")"),"Prevrtni cilindar")</f>
        <v>Prevrtni cilindar</v>
      </c>
      <c r="D857" s="28" t="s">
        <v>11</v>
      </c>
      <c r="E857" s="29">
        <v>1</v>
      </c>
      <c r="F857" s="17"/>
    </row>
    <row r="858" spans="1:9" ht="25.5" customHeight="1" x14ac:dyDescent="0.2">
      <c r="A858" s="27">
        <v>856</v>
      </c>
      <c r="B858" s="29">
        <v>7069626</v>
      </c>
      <c r="C858" s="29" t="str">
        <f ca="1">IFERROR(__xludf.DUMMYFUNCTION("GOOGLETRANSLATE(C4350,""en"",""hr"")"),"KGB cilindar kap.")</f>
        <v>KGB cilindar kap.</v>
      </c>
      <c r="D858" s="28" t="s">
        <v>11</v>
      </c>
      <c r="E858" s="29">
        <v>1</v>
      </c>
      <c r="F858" s="17"/>
    </row>
    <row r="859" spans="1:9" ht="25.5" customHeight="1" x14ac:dyDescent="0.2">
      <c r="A859" s="27">
        <v>857</v>
      </c>
      <c r="B859" s="29">
        <v>7069645</v>
      </c>
      <c r="C859" s="29" t="str">
        <f ca="1">IFERROR(__xludf.DUMMYFUNCTION("GOOGLETRANSLATE(C1558,""en"",""hr"")"),"Držač")</f>
        <v>Držač</v>
      </c>
      <c r="D859" s="28" t="s">
        <v>11</v>
      </c>
      <c r="E859" s="29">
        <v>1</v>
      </c>
      <c r="F859" s="17"/>
    </row>
    <row r="860" spans="1:9" ht="25.5" customHeight="1" x14ac:dyDescent="0.2">
      <c r="A860" s="27">
        <v>858</v>
      </c>
      <c r="B860" s="29">
        <v>7069662</v>
      </c>
      <c r="C860" s="29" t="str">
        <f ca="1">IFERROR(__xludf.DUMMYFUNCTION("GOOGLETRANSLATE(C5847,""en"",""hr"")"),"Cijev")</f>
        <v>Cijev</v>
      </c>
      <c r="D860" s="28" t="s">
        <v>11</v>
      </c>
      <c r="E860" s="29">
        <v>1</v>
      </c>
      <c r="F860" s="17"/>
    </row>
    <row r="861" spans="1:9" ht="25.5" customHeight="1" x14ac:dyDescent="0.2">
      <c r="A861" s="27">
        <v>859</v>
      </c>
      <c r="B861" s="29">
        <v>7069666</v>
      </c>
      <c r="C861" s="29" t="str">
        <f ca="1">IFERROR(__xludf.DUMMYFUNCTION("GOOGLETRANSLATE(C5848,""en"",""hr"")"),"Cijev")</f>
        <v>Cijev</v>
      </c>
      <c r="D861" s="28" t="s">
        <v>11</v>
      </c>
      <c r="E861" s="29">
        <v>1</v>
      </c>
      <c r="F861" s="17"/>
    </row>
    <row r="862" spans="1:9" ht="25.5" customHeight="1" x14ac:dyDescent="0.2">
      <c r="A862" s="27">
        <v>860</v>
      </c>
      <c r="B862" s="29">
        <v>7069670</v>
      </c>
      <c r="C862" s="29" t="str">
        <f ca="1">IFERROR(__xludf.DUMMYFUNCTION("GOOGLETRANSLATE(C3423,""en"",""hr"")"),"Kontrolni blok")</f>
        <v>Kontrolni blok</v>
      </c>
      <c r="D862" s="28" t="s">
        <v>11</v>
      </c>
      <c r="E862" s="29">
        <v>1</v>
      </c>
      <c r="F862" s="17"/>
    </row>
    <row r="863" spans="1:9" ht="25.5" customHeight="1" x14ac:dyDescent="0.2">
      <c r="A863" s="27">
        <v>861</v>
      </c>
      <c r="B863" s="29">
        <v>7069715</v>
      </c>
      <c r="C863" s="29" t="str">
        <f ca="1">IFERROR(__xludf.DUMMYFUNCTION("GOOGLETRANSLATE(C4352,""en"",""hr"")"),"Cijev")</f>
        <v>Cijev</v>
      </c>
      <c r="D863" s="28" t="s">
        <v>11</v>
      </c>
      <c r="E863" s="29">
        <v>1</v>
      </c>
      <c r="F863" s="17"/>
    </row>
    <row r="864" spans="1:9" ht="25.5" customHeight="1" x14ac:dyDescent="0.2">
      <c r="A864" s="27">
        <v>862</v>
      </c>
      <c r="B864" s="29">
        <v>7069725</v>
      </c>
      <c r="C864" s="29" t="str">
        <f ca="1">IFERROR(__xludf.DUMMYFUNCTION("GOOGLETRANSLATE(C4566,""en"",""hr"")"),"Hidraulično crijevo")</f>
        <v>Hidraulično crijevo</v>
      </c>
      <c r="D864" s="28" t="s">
        <v>11</v>
      </c>
      <c r="E864" s="29">
        <v>1</v>
      </c>
      <c r="F864" s="17"/>
    </row>
    <row r="865" spans="1:9" ht="25.5" customHeight="1" x14ac:dyDescent="0.2">
      <c r="A865" s="27">
        <v>863</v>
      </c>
      <c r="B865" s="29">
        <v>7069726</v>
      </c>
      <c r="C865" s="29" t="str">
        <f ca="1">IFERROR(__xludf.DUMMYFUNCTION("GOOGLETRANSLATE(C4565,""en"",""hr"")"),"Hidraulično crijevo")</f>
        <v>Hidraulično crijevo</v>
      </c>
      <c r="D865" s="28" t="s">
        <v>11</v>
      </c>
      <c r="E865" s="29">
        <v>1</v>
      </c>
      <c r="F865" s="17"/>
    </row>
    <row r="866" spans="1:9" ht="25.5" customHeight="1" x14ac:dyDescent="0.2">
      <c r="A866" s="27">
        <v>864</v>
      </c>
      <c r="B866" s="29">
        <v>7069727</v>
      </c>
      <c r="C866" s="29" t="str">
        <f ca="1">IFERROR(__xludf.DUMMYFUNCTION("GOOGLETRANSLATE(C4564,""en"",""hr"")"),"Hidraulično crijevo")</f>
        <v>Hidraulično crijevo</v>
      </c>
      <c r="D866" s="28" t="s">
        <v>11</v>
      </c>
      <c r="E866" s="29">
        <v>1</v>
      </c>
      <c r="F866" s="17"/>
    </row>
    <row r="867" spans="1:9" ht="25.5" customHeight="1" x14ac:dyDescent="0.2">
      <c r="A867" s="27">
        <v>865</v>
      </c>
      <c r="B867" s="29">
        <v>7069728</v>
      </c>
      <c r="C867" s="29" t="str">
        <f ca="1">IFERROR(__xludf.DUMMYFUNCTION("GOOGLETRANSLATE(C4567,""en"",""hr"")"),"Hidraulično crijevo")</f>
        <v>Hidraulično crijevo</v>
      </c>
      <c r="D867" s="28" t="s">
        <v>11</v>
      </c>
      <c r="E867" s="29">
        <v>1</v>
      </c>
      <c r="F867" s="17"/>
    </row>
    <row r="868" spans="1:9" ht="25.5" customHeight="1" x14ac:dyDescent="0.2">
      <c r="A868" s="27">
        <v>866</v>
      </c>
      <c r="B868" s="29">
        <v>7069755</v>
      </c>
      <c r="C868" s="29" t="str">
        <f ca="1">IFERROR(__xludf.DUMMYFUNCTION("GOOGLETRANSLATE(C5479,""en"",""hr"")"),"Držač")</f>
        <v>Držač</v>
      </c>
      <c r="D868" s="28" t="s">
        <v>11</v>
      </c>
      <c r="E868" s="29">
        <v>1</v>
      </c>
      <c r="F868" s="17"/>
      <c r="I868" s="4" t="b">
        <f>INT(F866*100)=(F866*100)</f>
        <v>1</v>
      </c>
    </row>
    <row r="869" spans="1:9" ht="25.5" customHeight="1" x14ac:dyDescent="0.2">
      <c r="A869" s="27">
        <v>867</v>
      </c>
      <c r="B869" s="29">
        <v>7069776</v>
      </c>
      <c r="C869" s="29" t="str">
        <f ca="1">IFERROR(__xludf.DUMMYFUNCTION("GOOGLETRANSLATE(C514,""en"",""hr"")"),"Crijevo")</f>
        <v>Crijevo</v>
      </c>
      <c r="D869" s="28" t="s">
        <v>11</v>
      </c>
      <c r="E869" s="29">
        <v>1</v>
      </c>
      <c r="F869" s="17"/>
    </row>
    <row r="870" spans="1:9" ht="25.5" customHeight="1" x14ac:dyDescent="0.2">
      <c r="A870" s="27">
        <v>868</v>
      </c>
      <c r="B870" s="29">
        <v>7069777</v>
      </c>
      <c r="C870" s="29" t="str">
        <f ca="1">IFERROR(__xludf.DUMMYFUNCTION("GOOGLETRANSLATE(C431,""en"",""hr"")"),"Hidraulično crijevo")</f>
        <v>Hidraulično crijevo</v>
      </c>
      <c r="D870" s="28" t="s">
        <v>11</v>
      </c>
      <c r="E870" s="29">
        <v>1</v>
      </c>
      <c r="F870" s="17"/>
    </row>
    <row r="871" spans="1:9" ht="25.5" customHeight="1" x14ac:dyDescent="0.2">
      <c r="A871" s="27">
        <v>869</v>
      </c>
      <c r="B871" s="29">
        <v>7069788</v>
      </c>
      <c r="C871" s="29" t="str">
        <f ca="1">IFERROR(__xludf.DUMMYFUNCTION("GOOGLETRANSLATE(C301,""en"",""hr"")"),"Držač hidraulički lijevi")</f>
        <v>Držač hidraulički lijevi</v>
      </c>
      <c r="D871" s="28" t="s">
        <v>11</v>
      </c>
      <c r="E871" s="29">
        <v>1</v>
      </c>
      <c r="F871" s="17"/>
      <c r="I871" s="4" t="b">
        <f>INT(F869*100)=(F869*100)</f>
        <v>1</v>
      </c>
    </row>
    <row r="872" spans="1:9" ht="25.5" customHeight="1" x14ac:dyDescent="0.2">
      <c r="A872" s="27">
        <v>870</v>
      </c>
      <c r="B872" s="29">
        <v>7069805</v>
      </c>
      <c r="C872" s="29" t="str">
        <f ca="1">IFERROR(__xludf.DUMMYFUNCTION("GOOGLETRANSLATE(C432,""en"",""hr"")"),"Hidraulično crijevo")</f>
        <v>Hidraulično crijevo</v>
      </c>
      <c r="D872" s="28" t="s">
        <v>11</v>
      </c>
      <c r="E872" s="29">
        <v>1</v>
      </c>
      <c r="F872" s="17"/>
    </row>
    <row r="873" spans="1:9" ht="25.5" customHeight="1" x14ac:dyDescent="0.2">
      <c r="A873" s="27">
        <v>871</v>
      </c>
      <c r="B873" s="29">
        <v>7069809</v>
      </c>
      <c r="C873" s="29" t="str">
        <f ca="1">IFERROR(__xludf.DUMMYFUNCTION("GOOGLETRANSLATE(C5262,""en"",""hr"")"),"Zbrinjavanje držača grede")</f>
        <v>Zbrinjavanje držača grede</v>
      </c>
      <c r="D873" s="28" t="s">
        <v>11</v>
      </c>
      <c r="E873" s="29">
        <v>1</v>
      </c>
      <c r="F873" s="17"/>
    </row>
    <row r="874" spans="1:9" ht="25.5" customHeight="1" x14ac:dyDescent="0.2">
      <c r="A874" s="27">
        <v>872</v>
      </c>
      <c r="B874" s="29">
        <v>7069847</v>
      </c>
      <c r="C874" s="29" t="str">
        <f ca="1">IFERROR(__xludf.DUMMYFUNCTION("GOOGLETRANSLATE(C5261,""en"",""hr"")"),"Držač")</f>
        <v>Držač</v>
      </c>
      <c r="D874" s="28" t="s">
        <v>11</v>
      </c>
      <c r="E874" s="29">
        <v>1</v>
      </c>
      <c r="F874" s="17"/>
    </row>
    <row r="875" spans="1:9" ht="25.5" customHeight="1" x14ac:dyDescent="0.2">
      <c r="A875" s="27">
        <v>873</v>
      </c>
      <c r="B875" s="29">
        <v>7069876</v>
      </c>
      <c r="C875" s="29" t="str">
        <f ca="1">IFERROR(__xludf.DUMMYFUNCTION("GOOGLETRANSLATE(C5260,""en"",""hr"")"),"Držač")</f>
        <v>Držač</v>
      </c>
      <c r="D875" s="28" t="s">
        <v>11</v>
      </c>
      <c r="E875" s="29">
        <v>1</v>
      </c>
      <c r="F875" s="17"/>
      <c r="I875" s="4" t="b">
        <f>INT(F873*100)=(F873*100)</f>
        <v>1</v>
      </c>
    </row>
    <row r="876" spans="1:9" ht="25.5" customHeight="1" x14ac:dyDescent="0.2">
      <c r="A876" s="27">
        <v>874</v>
      </c>
      <c r="B876" s="29">
        <v>7069883</v>
      </c>
      <c r="C876" s="29" t="str">
        <f ca="1">IFERROR(__xludf.DUMMYFUNCTION("GOOGLETRANSLATE(C5256,""en"",""hr"")"),"Zvjezdasta ručka")</f>
        <v>Zvjezdasta ručka</v>
      </c>
      <c r="D876" s="28" t="s">
        <v>11</v>
      </c>
      <c r="E876" s="29">
        <v>1</v>
      </c>
      <c r="F876" s="17"/>
    </row>
    <row r="877" spans="1:9" ht="25.5" customHeight="1" x14ac:dyDescent="0.2">
      <c r="A877" s="27">
        <v>875</v>
      </c>
      <c r="B877" s="29">
        <v>7069897</v>
      </c>
      <c r="C877" s="29" t="str">
        <f ca="1">IFERROR(__xludf.DUMMYFUNCTION("GOOGLETRANSLATE(C29,""en"",""hr"")"),"brtva")</f>
        <v>brtva</v>
      </c>
      <c r="D877" s="28" t="s">
        <v>11</v>
      </c>
      <c r="E877" s="29">
        <v>1</v>
      </c>
      <c r="F877" s="17"/>
    </row>
    <row r="878" spans="1:9" ht="25.5" customHeight="1" x14ac:dyDescent="0.2">
      <c r="A878" s="27">
        <v>876</v>
      </c>
      <c r="B878" s="29">
        <v>7069915</v>
      </c>
      <c r="C878" s="29" t="str">
        <f ca="1">IFERROR(__xludf.DUMMYFUNCTION("GOOGLETRANSLATE(C5799,""en"",""hr"")"),"Prsten, odstojnik 20x13x2.5")</f>
        <v>Prsten, odstojnik 20x13x2.5</v>
      </c>
      <c r="D878" s="28" t="s">
        <v>11</v>
      </c>
      <c r="E878" s="29">
        <v>1</v>
      </c>
      <c r="F878" s="17"/>
    </row>
    <row r="879" spans="1:9" ht="25.5" customHeight="1" x14ac:dyDescent="0.2">
      <c r="A879" s="27">
        <v>877</v>
      </c>
      <c r="B879" s="29">
        <v>7070002</v>
      </c>
      <c r="C879" s="29" t="str">
        <f ca="1">IFERROR(__xludf.DUMMYFUNCTION("GOOGLETRANSLATE(C5354,""en"",""hr"")"),"Čahura")</f>
        <v>Čahura</v>
      </c>
      <c r="D879" s="28" t="s">
        <v>11</v>
      </c>
      <c r="E879" s="29">
        <v>1</v>
      </c>
      <c r="F879" s="17"/>
    </row>
    <row r="880" spans="1:9" ht="25.5" customHeight="1" x14ac:dyDescent="0.2">
      <c r="A880" s="27">
        <v>878</v>
      </c>
      <c r="B880" s="29">
        <v>7070043</v>
      </c>
      <c r="C880" s="29" t="str">
        <f ca="1">IFERROR(__xludf.DUMMYFUNCTION("GOOGLETRANSLATE(C5284,""en"",""hr"")"),"Oplata")</f>
        <v>Oplata</v>
      </c>
      <c r="D880" s="28" t="s">
        <v>11</v>
      </c>
      <c r="E880" s="29">
        <v>1</v>
      </c>
      <c r="F880" s="17"/>
    </row>
    <row r="881" spans="1:9" ht="25.5" customHeight="1" x14ac:dyDescent="0.2">
      <c r="A881" s="27">
        <v>879</v>
      </c>
      <c r="B881" s="29">
        <v>7070122</v>
      </c>
      <c r="C881" s="29" t="str">
        <f ca="1">IFERROR(__xludf.DUMMYFUNCTION("GOOGLETRANSLATE(C4894,""en"",""hr"")"),"Razmaknica")</f>
        <v>Razmaknica</v>
      </c>
      <c r="D881" s="28" t="s">
        <v>11</v>
      </c>
      <c r="E881" s="29">
        <v>1</v>
      </c>
      <c r="F881" s="17"/>
    </row>
    <row r="882" spans="1:9" ht="25.5" customHeight="1" x14ac:dyDescent="0.2">
      <c r="A882" s="27">
        <v>880</v>
      </c>
      <c r="B882" s="29">
        <v>7070123</v>
      </c>
      <c r="C882" s="29" t="str">
        <f ca="1">IFERROR(__xludf.DUMMYFUNCTION("GOOGLETRANSLATE(C4893,""en"",""hr"")"),"režanj")</f>
        <v>režanj</v>
      </c>
      <c r="D882" s="28" t="s">
        <v>11</v>
      </c>
      <c r="E882" s="29">
        <v>1</v>
      </c>
      <c r="F882" s="17"/>
    </row>
    <row r="883" spans="1:9" ht="25.5" customHeight="1" x14ac:dyDescent="0.2">
      <c r="A883" s="27">
        <v>881</v>
      </c>
      <c r="B883" s="29">
        <v>7070140</v>
      </c>
      <c r="C883" s="29" t="str">
        <f ca="1">IFERROR(__xludf.DUMMYFUNCTION("GOOGLETRANSLATE(C4896,""en"",""hr"")"),"Držač")</f>
        <v>Držač</v>
      </c>
      <c r="D883" s="28" t="s">
        <v>11</v>
      </c>
      <c r="E883" s="29">
        <v>1</v>
      </c>
      <c r="F883" s="17"/>
    </row>
    <row r="884" spans="1:9" ht="25.5" customHeight="1" x14ac:dyDescent="0.2">
      <c r="A884" s="27">
        <v>882</v>
      </c>
      <c r="B884" s="29">
        <v>7070160</v>
      </c>
      <c r="C884" s="29" t="str">
        <f ca="1">IFERROR(__xludf.DUMMYFUNCTION("GOOGLETRANSLATE(C5241,""en"",""hr"")"),"Utorna matica")</f>
        <v>Utorna matica</v>
      </c>
      <c r="D884" s="28" t="s">
        <v>11</v>
      </c>
      <c r="E884" s="29">
        <v>1</v>
      </c>
      <c r="F884" s="17"/>
    </row>
    <row r="885" spans="1:9" ht="25.5" customHeight="1" x14ac:dyDescent="0.2">
      <c r="A885" s="27">
        <v>883</v>
      </c>
      <c r="B885" s="29">
        <v>7070161</v>
      </c>
      <c r="C885" s="29" t="str">
        <f ca="1">IFERROR(__xludf.DUMMYFUNCTION("GOOGLETRANSLATE(C5242,""en"",""hr"")"),"Čahura")</f>
        <v>Čahura</v>
      </c>
      <c r="D885" s="28" t="s">
        <v>11</v>
      </c>
      <c r="E885" s="29">
        <v>1</v>
      </c>
      <c r="F885" s="17"/>
    </row>
    <row r="886" spans="1:9" ht="25.5" customHeight="1" x14ac:dyDescent="0.2">
      <c r="A886" s="27">
        <v>884</v>
      </c>
      <c r="B886" s="29">
        <v>7070162</v>
      </c>
      <c r="C886" s="29" t="str">
        <f ca="1">IFERROR(__xludf.DUMMYFUNCTION("GOOGLETRANSLATE(C5245,""en"",""hr"")"),"Poklopna ploča")</f>
        <v>Poklopna ploča</v>
      </c>
      <c r="D886" s="28" t="s">
        <v>11</v>
      </c>
      <c r="E886" s="29">
        <v>1</v>
      </c>
      <c r="F886" s="17"/>
    </row>
    <row r="887" spans="1:9" ht="25.5" customHeight="1" x14ac:dyDescent="0.2">
      <c r="A887" s="27">
        <v>885</v>
      </c>
      <c r="B887" s="29">
        <v>7070209</v>
      </c>
      <c r="C887" s="29" t="str">
        <f ca="1">IFERROR(__xludf.DUMMYFUNCTION("GOOGLETRANSLATE(C2258,""en"",""hr"")"),"Konzola četke, lijevo")</f>
        <v>Konzola četke, lijevo</v>
      </c>
      <c r="D887" s="28" t="s">
        <v>11</v>
      </c>
      <c r="E887" s="29">
        <v>1</v>
      </c>
      <c r="F887" s="17"/>
    </row>
    <row r="888" spans="1:9" ht="25.5" customHeight="1" x14ac:dyDescent="0.2">
      <c r="A888" s="27">
        <v>886</v>
      </c>
      <c r="B888" s="29">
        <v>7070218</v>
      </c>
      <c r="C888" s="29" t="str">
        <f ca="1">IFERROR(__xludf.DUMMYFUNCTION("GOOGLETRANSLATE(C2257,""en"",""hr"")"),"Konzola za četke, desno")</f>
        <v>Konzola za četke, desno</v>
      </c>
      <c r="D888" s="28" t="s">
        <v>11</v>
      </c>
      <c r="E888" s="29">
        <v>1</v>
      </c>
      <c r="F888" s="17"/>
    </row>
    <row r="889" spans="1:9" ht="25.5" customHeight="1" x14ac:dyDescent="0.2">
      <c r="A889" s="27">
        <v>887</v>
      </c>
      <c r="B889" s="29">
        <v>7070230</v>
      </c>
      <c r="C889" s="29" t="str">
        <f ca="1">IFERROR(__xludf.DUMMYFUNCTION("GOOGLETRANSLATE(C1478,""en"",""hr"")"),"Ručka")</f>
        <v>Ručka</v>
      </c>
      <c r="D889" s="28" t="s">
        <v>11</v>
      </c>
      <c r="E889" s="29">
        <v>1</v>
      </c>
      <c r="F889" s="17"/>
    </row>
    <row r="890" spans="1:9" ht="25.5" customHeight="1" x14ac:dyDescent="0.2">
      <c r="A890" s="27">
        <v>888</v>
      </c>
      <c r="B890" s="29">
        <v>7070233</v>
      </c>
      <c r="C890" s="29" t="str">
        <f ca="1">IFERROR(__xludf.DUMMYFUNCTION("GOOGLETRANSLATE(C1476,""en"",""hr"")"),"Ručka")</f>
        <v>Ručka</v>
      </c>
      <c r="D890" s="28" t="s">
        <v>11</v>
      </c>
      <c r="E890" s="29">
        <v>1</v>
      </c>
      <c r="F890" s="17"/>
    </row>
    <row r="891" spans="1:9" ht="25.5" customHeight="1" x14ac:dyDescent="0.2">
      <c r="A891" s="27">
        <v>889</v>
      </c>
      <c r="B891" s="29">
        <v>7070272</v>
      </c>
      <c r="C891" s="29" t="str">
        <f ca="1">IFERROR(__xludf.DUMMYFUNCTION("GOOGLETRANSLATE(C2796,""en"",""hr"")"),"Crijevo")</f>
        <v>Crijevo</v>
      </c>
      <c r="D891" s="28" t="s">
        <v>11</v>
      </c>
      <c r="E891" s="29">
        <v>1</v>
      </c>
      <c r="F891" s="17"/>
    </row>
    <row r="892" spans="1:9" ht="25.5" customHeight="1" x14ac:dyDescent="0.2">
      <c r="A892" s="27">
        <v>890</v>
      </c>
      <c r="B892" s="29">
        <v>7070276</v>
      </c>
      <c r="C892" s="29" t="str">
        <f ca="1">IFERROR(__xludf.DUMMYFUNCTION("GOOGLETRANSLATE(C2792,""en"",""hr"")"),"Crijevo")</f>
        <v>Crijevo</v>
      </c>
      <c r="D892" s="28" t="s">
        <v>11</v>
      </c>
      <c r="E892" s="29">
        <v>1</v>
      </c>
      <c r="F892" s="17"/>
    </row>
    <row r="893" spans="1:9" ht="25.5" customHeight="1" x14ac:dyDescent="0.2">
      <c r="A893" s="27">
        <v>891</v>
      </c>
      <c r="B893" s="29">
        <v>7070278</v>
      </c>
      <c r="C893" s="29" t="str">
        <f ca="1">IFERROR(__xludf.DUMMYFUNCTION("GOOGLETRANSLATE(C2803,""en"",""hr"")"),"Crijevo")</f>
        <v>Crijevo</v>
      </c>
      <c r="D893" s="28" t="s">
        <v>11</v>
      </c>
      <c r="E893" s="29">
        <v>1</v>
      </c>
      <c r="F893" s="17"/>
    </row>
    <row r="894" spans="1:9" ht="25.5" customHeight="1" x14ac:dyDescent="0.2">
      <c r="A894" s="27">
        <v>892</v>
      </c>
      <c r="B894" s="29">
        <v>7070279</v>
      </c>
      <c r="C894" s="29" t="str">
        <f ca="1">IFERROR(__xludf.DUMMYFUNCTION("GOOGLETRANSLATE(C2804,""en"",""hr"")"),"Crijevo")</f>
        <v>Crijevo</v>
      </c>
      <c r="D894" s="28" t="s">
        <v>11</v>
      </c>
      <c r="E894" s="29">
        <v>1</v>
      </c>
      <c r="F894" s="17"/>
      <c r="I894" s="4" t="b">
        <f>INT(F892*100)=(F892*100)</f>
        <v>1</v>
      </c>
    </row>
    <row r="895" spans="1:9" ht="25.5" customHeight="1" x14ac:dyDescent="0.2">
      <c r="A895" s="27">
        <v>893</v>
      </c>
      <c r="B895" s="29">
        <v>7070282</v>
      </c>
      <c r="C895" s="29" t="str">
        <f ca="1">IFERROR(__xludf.DUMMYFUNCTION("GOOGLETRANSLATE(C5772,""en"",""hr"")"),"Cijev")</f>
        <v>Cijev</v>
      </c>
      <c r="D895" s="28" t="s">
        <v>11</v>
      </c>
      <c r="E895" s="29">
        <v>1</v>
      </c>
      <c r="F895" s="17"/>
    </row>
    <row r="896" spans="1:9" ht="25.5" customHeight="1" x14ac:dyDescent="0.2">
      <c r="A896" s="27">
        <v>894</v>
      </c>
      <c r="B896" s="29">
        <v>7070291</v>
      </c>
      <c r="C896" s="29" t="str">
        <f ca="1">IFERROR(__xludf.DUMMYFUNCTION("GOOGLETRANSLATE(C5807,""en"",""hr"")"),"brtva")</f>
        <v>brtva</v>
      </c>
      <c r="D896" s="28" t="s">
        <v>11</v>
      </c>
      <c r="E896" s="29">
        <v>1</v>
      </c>
      <c r="F896" s="17"/>
    </row>
    <row r="897" spans="1:9" ht="25.5" customHeight="1" x14ac:dyDescent="0.2">
      <c r="A897" s="27">
        <v>895</v>
      </c>
      <c r="B897" s="29">
        <v>7070304</v>
      </c>
      <c r="C897" s="29" t="str">
        <f ca="1">IFERROR(__xludf.DUMMYFUNCTION("GOOGLETRANSLATE(C3714,""en"",""hr"")"),"Cijev mlaznice LH")</f>
        <v>Cijev mlaznice LH</v>
      </c>
      <c r="D897" s="28" t="s">
        <v>11</v>
      </c>
      <c r="E897" s="29">
        <v>1</v>
      </c>
      <c r="F897" s="17"/>
      <c r="I897" s="4" t="b">
        <f>INT(F895*100)=(F895*100)</f>
        <v>1</v>
      </c>
    </row>
    <row r="898" spans="1:9" ht="25.5" customHeight="1" x14ac:dyDescent="0.2">
      <c r="A898" s="27">
        <v>896</v>
      </c>
      <c r="B898" s="29">
        <v>7070306</v>
      </c>
      <c r="C898" s="29" t="str">
        <f ca="1">IFERROR(__xludf.DUMMYFUNCTION("GOOGLETRANSLATE(C3715,""en"",""hr"")"),"Cijev mlaznice RH")</f>
        <v>Cijev mlaznice RH</v>
      </c>
      <c r="D898" s="28" t="s">
        <v>11</v>
      </c>
      <c r="E898" s="29">
        <v>1</v>
      </c>
      <c r="F898" s="17"/>
    </row>
    <row r="899" spans="1:9" ht="25.5" customHeight="1" x14ac:dyDescent="0.2">
      <c r="A899" s="27">
        <v>897</v>
      </c>
      <c r="B899" s="29">
        <v>7070307</v>
      </c>
      <c r="C899" s="29" t="str">
        <f ca="1">IFERROR(__xludf.DUMMYFUNCTION("GOOGLETRANSLATE(C3717,""en"",""hr"")"),"Cijev mlaznice")</f>
        <v>Cijev mlaznice</v>
      </c>
      <c r="D899" s="28" t="s">
        <v>11</v>
      </c>
      <c r="E899" s="29">
        <v>1</v>
      </c>
      <c r="F899" s="17"/>
    </row>
    <row r="900" spans="1:9" ht="25.5" customHeight="1" x14ac:dyDescent="0.2">
      <c r="A900" s="27">
        <v>898</v>
      </c>
      <c r="B900" s="29">
        <v>7070334</v>
      </c>
      <c r="C900" s="29" t="str">
        <f ca="1">IFERROR(__xludf.DUMMYFUNCTION("GOOGLETRANSLATE(C1278,""en"",""hr"")"),"Držač")</f>
        <v>Držač</v>
      </c>
      <c r="D900" s="28" t="s">
        <v>11</v>
      </c>
      <c r="E900" s="29">
        <v>1</v>
      </c>
      <c r="F900" s="17"/>
    </row>
    <row r="901" spans="1:9" ht="25.5" customHeight="1" x14ac:dyDescent="0.2">
      <c r="A901" s="27">
        <v>899</v>
      </c>
      <c r="B901" s="29">
        <v>7070356</v>
      </c>
      <c r="C901" s="29" t="str">
        <f ca="1">IFERROR(__xludf.DUMMYFUNCTION("GOOGLETRANSLATE(C3720,""en"",""hr"")"),"Držač")</f>
        <v>Držač</v>
      </c>
      <c r="D901" s="28" t="s">
        <v>11</v>
      </c>
      <c r="E901" s="29">
        <v>1</v>
      </c>
      <c r="F901" s="17"/>
      <c r="I901" s="4" t="b">
        <f>INT(F899*100)=(F899*100)</f>
        <v>1</v>
      </c>
    </row>
    <row r="902" spans="1:9" ht="25.5" customHeight="1" x14ac:dyDescent="0.2">
      <c r="A902" s="27">
        <v>900</v>
      </c>
      <c r="B902" s="29">
        <v>7070367</v>
      </c>
      <c r="C902" s="29" t="str">
        <f ca="1">IFERROR(__xludf.DUMMYFUNCTION("GOOGLETRANSLATE(C6040,""en"",""hr"")"),"Hidraulično crijevo")</f>
        <v>Hidraulično crijevo</v>
      </c>
      <c r="D902" s="28" t="s">
        <v>11</v>
      </c>
      <c r="E902" s="29">
        <v>1</v>
      </c>
      <c r="F902" s="17"/>
    </row>
    <row r="903" spans="1:9" ht="25.5" customHeight="1" x14ac:dyDescent="0.2">
      <c r="A903" s="27">
        <v>901</v>
      </c>
      <c r="B903" s="29">
        <v>7070377</v>
      </c>
      <c r="C903" s="29" t="str">
        <f ca="1">IFERROR(__xludf.DUMMYFUNCTION("GOOGLETRANSLATE(C6041,""en"",""hr"")"),"Hidraulično crijevo")</f>
        <v>Hidraulično crijevo</v>
      </c>
      <c r="D903" s="28" t="s">
        <v>11</v>
      </c>
      <c r="E903" s="29">
        <v>1</v>
      </c>
      <c r="F903" s="17"/>
    </row>
    <row r="904" spans="1:9" ht="25.5" customHeight="1" x14ac:dyDescent="0.2">
      <c r="A904" s="27">
        <v>902</v>
      </c>
      <c r="B904" s="29">
        <v>7070405</v>
      </c>
      <c r="C904" s="29" t="str">
        <f ca="1">IFERROR(__xludf.DUMMYFUNCTION("GOOGLETRANSLATE(C916,""en"",""hr"")"),"Gumeni nosač")</f>
        <v>Gumeni nosač</v>
      </c>
      <c r="D904" s="28" t="s">
        <v>11</v>
      </c>
      <c r="E904" s="29">
        <v>1</v>
      </c>
      <c r="F904" s="17"/>
    </row>
    <row r="905" spans="1:9" ht="25.5" customHeight="1" x14ac:dyDescent="0.2">
      <c r="A905" s="27">
        <v>903</v>
      </c>
      <c r="B905" s="29">
        <v>7070416</v>
      </c>
      <c r="C905" s="29" t="str">
        <f ca="1">IFERROR(__xludf.DUMMYFUNCTION("GOOGLETRANSLATE(C6087,""en"",""hr"")"),"Hidraulično crijevo")</f>
        <v>Hidraulično crijevo</v>
      </c>
      <c r="D905" s="28" t="s">
        <v>11</v>
      </c>
      <c r="E905" s="29">
        <v>1</v>
      </c>
      <c r="F905" s="17"/>
    </row>
    <row r="906" spans="1:9" ht="25.5" customHeight="1" x14ac:dyDescent="0.2">
      <c r="A906" s="27">
        <v>904</v>
      </c>
      <c r="B906" s="29">
        <v>7070483</v>
      </c>
      <c r="C906" s="29" t="str">
        <f ca="1">IFERROR(__xludf.DUMMYFUNCTION("GOOGLETRANSLATE(C6518,""en"",""hr"")"),"Držač")</f>
        <v>Držač</v>
      </c>
      <c r="D906" s="28" t="s">
        <v>11</v>
      </c>
      <c r="E906" s="29">
        <v>1</v>
      </c>
      <c r="F906" s="17"/>
    </row>
    <row r="907" spans="1:9" ht="25.5" customHeight="1" x14ac:dyDescent="0.2">
      <c r="A907" s="27">
        <v>905</v>
      </c>
      <c r="B907" s="29">
        <v>7070563</v>
      </c>
      <c r="C907" s="29" t="str">
        <f ca="1">IFERROR(__xludf.DUMMYFUNCTION("GOOGLETRANSLATE(C1067,""en"",""hr"")"),"Cijev")</f>
        <v>Cijev</v>
      </c>
      <c r="D907" s="28" t="s">
        <v>11</v>
      </c>
      <c r="E907" s="29">
        <v>1</v>
      </c>
      <c r="F907" s="17"/>
    </row>
    <row r="908" spans="1:9" ht="25.5" customHeight="1" x14ac:dyDescent="0.2">
      <c r="A908" s="27">
        <v>906</v>
      </c>
      <c r="B908" s="29">
        <v>7070639</v>
      </c>
      <c r="C908" s="29" t="str">
        <f ca="1">IFERROR(__xludf.DUMMYFUNCTION("GOOGLETRANSLATE(C497,""en"",""hr"")"),"Montaža opružne stezaljke Cpl.")</f>
        <v>Montaža opružne stezaljke Cpl.</v>
      </c>
      <c r="D908" s="28" t="s">
        <v>11</v>
      </c>
      <c r="E908" s="29">
        <v>1</v>
      </c>
      <c r="F908" s="17"/>
    </row>
    <row r="909" spans="1:9" ht="25.5" customHeight="1" x14ac:dyDescent="0.2">
      <c r="A909" s="27">
        <v>907</v>
      </c>
      <c r="B909" s="29">
        <v>7070642</v>
      </c>
      <c r="C909" s="29" t="str">
        <f ca="1">IFERROR(__xludf.DUMMYFUNCTION("GOOGLETRANSLATE(C6784,""en"",""hr"")"),"Ljepljiva ploča")</f>
        <v>Ljepljiva ploča</v>
      </c>
      <c r="D909" s="28" t="s">
        <v>11</v>
      </c>
      <c r="E909" s="29">
        <v>1</v>
      </c>
      <c r="F909" s="17"/>
    </row>
    <row r="910" spans="1:9" ht="25.5" customHeight="1" x14ac:dyDescent="0.2">
      <c r="A910" s="27">
        <v>908</v>
      </c>
      <c r="B910" s="29">
        <v>7070643</v>
      </c>
      <c r="C910" s="29" t="str">
        <f ca="1">IFERROR(__xludf.DUMMYFUNCTION("GOOGLETRANSLATE(C6783,""en"",""hr"")"),"Ljepljiva ploča")</f>
        <v>Ljepljiva ploča</v>
      </c>
      <c r="D910" s="28" t="s">
        <v>11</v>
      </c>
      <c r="E910" s="29">
        <v>1</v>
      </c>
      <c r="F910" s="17"/>
    </row>
    <row r="911" spans="1:9" ht="25.5" customHeight="1" x14ac:dyDescent="0.2">
      <c r="A911" s="27">
        <v>909</v>
      </c>
      <c r="B911" s="29">
        <v>7070644</v>
      </c>
      <c r="C911" s="29" t="str">
        <f ca="1">IFERROR(__xludf.DUMMYFUNCTION("GOOGLETRANSLATE(C6772,""en"",""hr"")"),"Ljepljiva ploča")</f>
        <v>Ljepljiva ploča</v>
      </c>
      <c r="D911" s="28" t="s">
        <v>11</v>
      </c>
      <c r="E911" s="29">
        <v>1</v>
      </c>
      <c r="F911" s="17"/>
    </row>
    <row r="912" spans="1:9" ht="25.5" customHeight="1" x14ac:dyDescent="0.2">
      <c r="A912" s="27">
        <v>910</v>
      </c>
      <c r="B912" s="29">
        <v>7070693</v>
      </c>
      <c r="C912" s="29" t="str">
        <f ca="1">IFERROR(__xludf.DUMMYFUNCTION("GOOGLETRANSLATE(C2149,""en"",""hr"")"),"Cijev")</f>
        <v>Cijev</v>
      </c>
      <c r="D912" s="28" t="s">
        <v>11</v>
      </c>
      <c r="E912" s="29">
        <v>1</v>
      </c>
      <c r="F912" s="17"/>
    </row>
    <row r="913" spans="1:9" ht="25.5" customHeight="1" x14ac:dyDescent="0.2">
      <c r="A913" s="27">
        <v>911</v>
      </c>
      <c r="B913" s="29">
        <v>7070694</v>
      </c>
      <c r="C913" s="29" t="str">
        <f ca="1">IFERROR(__xludf.DUMMYFUNCTION("GOOGLETRANSLATE(C2392,""en"",""hr"")"),"Cijev")</f>
        <v>Cijev</v>
      </c>
      <c r="D913" s="28" t="s">
        <v>11</v>
      </c>
      <c r="E913" s="29">
        <v>1</v>
      </c>
      <c r="F913" s="17"/>
    </row>
    <row r="914" spans="1:9" ht="25.5" customHeight="1" x14ac:dyDescent="0.2">
      <c r="A914" s="27">
        <v>912</v>
      </c>
      <c r="B914" s="29">
        <v>7070695</v>
      </c>
      <c r="C914" s="29" t="str">
        <f ca="1">IFERROR(__xludf.DUMMYFUNCTION("GOOGLETRANSLATE(C2393,""en"",""hr"")"),"Cijev")</f>
        <v>Cijev</v>
      </c>
      <c r="D914" s="28" t="s">
        <v>11</v>
      </c>
      <c r="E914" s="29">
        <v>1</v>
      </c>
      <c r="F914" s="17"/>
    </row>
    <row r="915" spans="1:9" ht="25.5" customHeight="1" x14ac:dyDescent="0.2">
      <c r="A915" s="27">
        <v>913</v>
      </c>
      <c r="B915" s="29">
        <v>7070973</v>
      </c>
      <c r="C915" s="29" t="str">
        <f ca="1">IFERROR(__xludf.DUMMYFUNCTION("GOOGLETRANSLATE(C4334,""en"",""hr"")"),"Čuvar Assy")</f>
        <v>Čuvar Assy</v>
      </c>
      <c r="D915" s="28" t="s">
        <v>11</v>
      </c>
      <c r="E915" s="29">
        <v>1</v>
      </c>
      <c r="F915" s="17"/>
    </row>
    <row r="916" spans="1:9" ht="25.5" customHeight="1" x14ac:dyDescent="0.2">
      <c r="A916" s="27">
        <v>914</v>
      </c>
      <c r="B916" s="29">
        <v>7070990</v>
      </c>
      <c r="C916" s="29" t="str">
        <f ca="1">IFERROR(__xludf.DUMMYFUNCTION("GOOGLETRANSLATE(C3405,""en"",""hr"")"),"Vratilo")</f>
        <v>Vratilo</v>
      </c>
      <c r="D916" s="28" t="s">
        <v>11</v>
      </c>
      <c r="E916" s="29">
        <v>1</v>
      </c>
      <c r="F916" s="17"/>
    </row>
    <row r="917" spans="1:9" ht="25.5" customHeight="1" x14ac:dyDescent="0.2">
      <c r="A917" s="27">
        <v>915</v>
      </c>
      <c r="B917" s="29">
        <v>7071022</v>
      </c>
      <c r="C917" s="29" t="str">
        <f ca="1">IFERROR(__xludf.DUMMYFUNCTION("GOOGLETRANSLATE(C5239,""en"",""hr"")"),"Naslon za ruku povučen / gurnut četkom")</f>
        <v>Naslon za ruku povučen / gurnut četkom</v>
      </c>
      <c r="D917" s="28" t="s">
        <v>11</v>
      </c>
      <c r="E917" s="29">
        <v>1</v>
      </c>
      <c r="F917" s="17"/>
    </row>
    <row r="918" spans="1:9" ht="25.5" customHeight="1" x14ac:dyDescent="0.2">
      <c r="A918" s="27">
        <v>916</v>
      </c>
      <c r="B918" s="29">
        <v>7071204</v>
      </c>
      <c r="C918" s="29" t="str">
        <f ca="1">IFERROR(__xludf.DUMMYFUNCTION("GOOGLETRANSLATE(C5243,""en"",""hr"")"),"Vodeća ploča")</f>
        <v>Vodeća ploča</v>
      </c>
      <c r="D918" s="28" t="s">
        <v>11</v>
      </c>
      <c r="E918" s="29">
        <v>1</v>
      </c>
      <c r="F918" s="17"/>
    </row>
    <row r="919" spans="1:9" ht="25.5" customHeight="1" x14ac:dyDescent="0.2">
      <c r="A919" s="27">
        <v>917</v>
      </c>
      <c r="B919" s="29">
        <v>7071220</v>
      </c>
      <c r="C919" s="29" t="str">
        <f ca="1">IFERROR(__xludf.DUMMYFUNCTION("GOOGLETRANSLATE(C731,""en"",""hr"")"),"Čahura")</f>
        <v>Čahura</v>
      </c>
      <c r="D919" s="28" t="s">
        <v>11</v>
      </c>
      <c r="E919" s="29">
        <v>1</v>
      </c>
      <c r="F919" s="17"/>
      <c r="I919" s="4" t="b">
        <f>INT(F917*100)=(F917*100)</f>
        <v>1</v>
      </c>
    </row>
    <row r="920" spans="1:9" ht="25.5" customHeight="1" x14ac:dyDescent="0.2">
      <c r="A920" s="27">
        <v>918</v>
      </c>
      <c r="B920" s="29">
        <v>7071230</v>
      </c>
      <c r="C920" s="29" t="str">
        <f ca="1">IFERROR(__xludf.DUMMYFUNCTION("GOOGLETRANSLATE(C5253,""en"",""hr"")"),"Obloga vrata")</f>
        <v>Obloga vrata</v>
      </c>
      <c r="D920" s="28" t="s">
        <v>11</v>
      </c>
      <c r="E920" s="29">
        <v>1</v>
      </c>
      <c r="F920" s="17"/>
    </row>
    <row r="921" spans="1:9" ht="25.5" customHeight="1" x14ac:dyDescent="0.2">
      <c r="A921" s="27">
        <v>919</v>
      </c>
      <c r="B921" s="29">
        <v>7071231</v>
      </c>
      <c r="C921" s="29" t="str">
        <f ca="1">IFERROR(__xludf.DUMMYFUNCTION("GOOGLETRANSLATE(C5236,""en"",""hr"")"),"Oplata")</f>
        <v>Oplata</v>
      </c>
      <c r="D921" s="28" t="s">
        <v>11</v>
      </c>
      <c r="E921" s="29">
        <v>1</v>
      </c>
      <c r="F921" s="17"/>
    </row>
    <row r="922" spans="1:9" ht="25.5" customHeight="1" x14ac:dyDescent="0.2">
      <c r="A922" s="27">
        <v>920</v>
      </c>
      <c r="B922" s="29">
        <v>7071233</v>
      </c>
      <c r="C922" s="29" t="str">
        <f ca="1">IFERROR(__xludf.DUMMYFUNCTION("GOOGLETRANSLATE(C5247,""en"",""hr"")"),"Obloga vrata")</f>
        <v>Obloga vrata</v>
      </c>
      <c r="D922" s="28" t="s">
        <v>11</v>
      </c>
      <c r="E922" s="29">
        <v>1</v>
      </c>
      <c r="F922" s="17"/>
      <c r="I922" s="4" t="b">
        <f>INT(F920*100)=(F920*100)</f>
        <v>1</v>
      </c>
    </row>
    <row r="923" spans="1:9" ht="25.5" customHeight="1" x14ac:dyDescent="0.2">
      <c r="A923" s="27">
        <v>921</v>
      </c>
      <c r="B923" s="29">
        <v>7071240</v>
      </c>
      <c r="C923" s="29" t="str">
        <f ca="1">IFERROR(__xludf.DUMMYFUNCTION("GOOGLETRANSLATE(C4999,""en"",""hr"")"),"Vrata lijevo")</f>
        <v>Vrata lijevo</v>
      </c>
      <c r="D923" s="28" t="s">
        <v>11</v>
      </c>
      <c r="E923" s="29">
        <v>1</v>
      </c>
      <c r="F923" s="17"/>
    </row>
    <row r="924" spans="1:9" ht="25.5" customHeight="1" x14ac:dyDescent="0.2">
      <c r="A924" s="27">
        <v>922</v>
      </c>
      <c r="B924" s="29">
        <v>7071241</v>
      </c>
      <c r="C924" s="29" t="str">
        <f ca="1">IFERROR(__xludf.DUMMYFUNCTION("GOOGLETRANSLATE(C5000,""en"",""hr"")"),"Vrata desna")</f>
        <v>Vrata desna</v>
      </c>
      <c r="D924" s="28" t="s">
        <v>11</v>
      </c>
      <c r="E924" s="29">
        <v>1</v>
      </c>
      <c r="F924" s="17"/>
    </row>
    <row r="925" spans="1:9" ht="25.5" customHeight="1" x14ac:dyDescent="0.2">
      <c r="A925" s="27">
        <v>923</v>
      </c>
      <c r="B925" s="29">
        <v>7071244</v>
      </c>
      <c r="C925" s="29" t="str">
        <f ca="1">IFERROR(__xludf.DUMMYFUNCTION("GOOGLETRANSLATE(C6286,""en"",""hr"")"),"Ožičenje (+B-HO)")</f>
        <v>Ožičenje (+B-HO)</v>
      </c>
      <c r="D925" s="28" t="s">
        <v>11</v>
      </c>
      <c r="E925" s="29">
        <v>1</v>
      </c>
      <c r="F925" s="17"/>
    </row>
    <row r="926" spans="1:9" ht="25.5" customHeight="1" x14ac:dyDescent="0.2">
      <c r="A926" s="27">
        <v>924</v>
      </c>
      <c r="B926" s="29">
        <v>7071259</v>
      </c>
      <c r="C926" s="29" t="str">
        <f ca="1">IFERROR(__xludf.DUMMYFUNCTION("GOOGLETRANSLATE(C6269,""en"",""hr"")"),"Kabel (+SC)")</f>
        <v>Kabel (+SC)</v>
      </c>
      <c r="D926" s="28" t="s">
        <v>11</v>
      </c>
      <c r="E926" s="29">
        <v>1</v>
      </c>
      <c r="F926" s="17"/>
      <c r="I926" s="4" t="b">
        <f>INT(F924*100)=(F924*100)</f>
        <v>1</v>
      </c>
    </row>
    <row r="927" spans="1:9" ht="25.5" customHeight="1" x14ac:dyDescent="0.2">
      <c r="A927" s="27">
        <v>925</v>
      </c>
      <c r="B927" s="29">
        <v>7071261</v>
      </c>
      <c r="C927" s="29" t="str">
        <f ca="1">IFERROR(__xludf.DUMMYFUNCTION("GOOGLETRANSLATE(C6305,""en"",""hr"")"),"Kabelski svežanj (+PP-EV)")</f>
        <v>Kabelski svežanj (+PP-EV)</v>
      </c>
      <c r="D927" s="28" t="s">
        <v>11</v>
      </c>
      <c r="E927" s="29">
        <v>1</v>
      </c>
      <c r="F927" s="17"/>
    </row>
    <row r="928" spans="1:9" ht="25.5" customHeight="1" x14ac:dyDescent="0.2">
      <c r="A928" s="27">
        <v>926</v>
      </c>
      <c r="B928" s="29">
        <v>7071262</v>
      </c>
      <c r="C928" s="29" t="str">
        <f ca="1">IFERROR(__xludf.DUMMYFUNCTION("GOOGLETRANSLATE(C6277,""en"",""hr"")"),"Kabel (+CH-P)")</f>
        <v>Kabel (+CH-P)</v>
      </c>
      <c r="D928" s="28" t="s">
        <v>11</v>
      </c>
      <c r="E928" s="29">
        <v>1</v>
      </c>
      <c r="F928" s="17"/>
    </row>
    <row r="929" spans="1:9" ht="25.5" customHeight="1" x14ac:dyDescent="0.2">
      <c r="A929" s="27">
        <v>927</v>
      </c>
      <c r="B929" s="29">
        <v>7071267</v>
      </c>
      <c r="C929" s="29" t="str">
        <f ca="1">IFERROR(__xludf.DUMMYFUNCTION("GOOGLETRANSLATE(C5228,""en"",""hr"")"),"Tenk")</f>
        <v>Tenk</v>
      </c>
      <c r="D929" s="28" t="s">
        <v>11</v>
      </c>
      <c r="E929" s="29">
        <v>1</v>
      </c>
      <c r="F929" s="17"/>
    </row>
    <row r="930" spans="1:9" ht="25.5" customHeight="1" x14ac:dyDescent="0.2">
      <c r="A930" s="27">
        <v>928</v>
      </c>
      <c r="B930" s="29">
        <v>7071268</v>
      </c>
      <c r="C930" s="29" t="str">
        <f ca="1">IFERROR(__xludf.DUMMYFUNCTION("GOOGLETRANSLATE(C32,""en"",""hr"")"),"Sklop senzora")</f>
        <v>Sklop senzora</v>
      </c>
      <c r="D930" s="28" t="s">
        <v>11</v>
      </c>
      <c r="E930" s="29">
        <v>1</v>
      </c>
      <c r="F930" s="17"/>
    </row>
    <row r="931" spans="1:9" ht="25.5" customHeight="1" x14ac:dyDescent="0.2">
      <c r="A931" s="27">
        <v>929</v>
      </c>
      <c r="B931" s="29">
        <v>7071269</v>
      </c>
      <c r="C931" s="29" t="str">
        <f ca="1">IFERROR(__xludf.DUMMYFUNCTION("GOOGLETRANSLATE(C31,""en"",""hr"")"),"Kompenzacijski rezervoar")</f>
        <v>Kompenzacijski rezervoar</v>
      </c>
      <c r="D931" s="28" t="s">
        <v>11</v>
      </c>
      <c r="E931" s="29">
        <v>1</v>
      </c>
      <c r="F931" s="17"/>
    </row>
    <row r="932" spans="1:9" ht="25.5" customHeight="1" x14ac:dyDescent="0.2">
      <c r="A932" s="27">
        <v>930</v>
      </c>
      <c r="B932" s="29">
        <v>7071285</v>
      </c>
      <c r="C932" s="29" t="str">
        <f ca="1">IFERROR(__xludf.DUMMYFUNCTION("GOOGLETRANSLATE(C6647,""en"",""hr"")"),"Osovina šuplja")</f>
        <v>Osovina šuplja</v>
      </c>
      <c r="D932" s="28" t="s">
        <v>11</v>
      </c>
      <c r="E932" s="29">
        <v>1</v>
      </c>
      <c r="F932" s="17"/>
    </row>
    <row r="933" spans="1:9" ht="25.5" customHeight="1" x14ac:dyDescent="0.2">
      <c r="A933" s="27">
        <v>931</v>
      </c>
      <c r="B933" s="29">
        <v>7071295</v>
      </c>
      <c r="C933" s="29" t="str">
        <f ca="1">IFERROR(__xludf.DUMMYFUNCTION("GOOGLETRANSLATE(C6645,""en"",""hr"")"),"Držač")</f>
        <v>Držač</v>
      </c>
      <c r="D933" s="28" t="s">
        <v>11</v>
      </c>
      <c r="E933" s="29">
        <v>1</v>
      </c>
      <c r="F933" s="17"/>
    </row>
    <row r="934" spans="1:9" ht="25.5" customHeight="1" x14ac:dyDescent="0.2">
      <c r="A934" s="27">
        <v>932</v>
      </c>
      <c r="B934" s="29">
        <v>7071301</v>
      </c>
      <c r="C934" s="29" t="str">
        <f ca="1">IFERROR(__xludf.DUMMYFUNCTION("GOOGLETRANSLATE(C3110,""en"",""hr"")"),"Usisni poklopac za usta")</f>
        <v>Usisni poklopac za usta</v>
      </c>
      <c r="D934" s="28" t="s">
        <v>11</v>
      </c>
      <c r="E934" s="29">
        <v>1</v>
      </c>
      <c r="F934" s="17"/>
      <c r="I934" s="4" t="b">
        <f>INT(F932*100)=(F932*100)</f>
        <v>1</v>
      </c>
    </row>
    <row r="935" spans="1:9" ht="25.5" customHeight="1" x14ac:dyDescent="0.2">
      <c r="A935" s="27">
        <v>933</v>
      </c>
      <c r="B935" s="29">
        <v>7071385</v>
      </c>
      <c r="C935" s="29" t="str">
        <f ca="1">IFERROR(__xludf.DUMMYFUNCTION("GOOGLETRANSLATE(C2046,""en"",""hr"")"),"Plinski cilindar")</f>
        <v>Plinski cilindar</v>
      </c>
      <c r="D935" s="28" t="s">
        <v>11</v>
      </c>
      <c r="E935" s="29">
        <v>1</v>
      </c>
      <c r="F935" s="17"/>
    </row>
    <row r="936" spans="1:9" ht="25.5" customHeight="1" x14ac:dyDescent="0.2">
      <c r="A936" s="27">
        <v>934</v>
      </c>
      <c r="B936" s="29">
        <v>7071386</v>
      </c>
      <c r="C936" s="29" t="str">
        <f ca="1">IFERROR(__xludf.DUMMYFUNCTION("GOOGLETRANSLATE(C61,""en"",""hr"")"),"Amortizer")</f>
        <v>Amortizer</v>
      </c>
      <c r="D936" s="28" t="s">
        <v>11</v>
      </c>
      <c r="E936" s="29">
        <v>1</v>
      </c>
      <c r="F936" s="17"/>
    </row>
    <row r="937" spans="1:9" ht="25.5" customHeight="1" x14ac:dyDescent="0.2">
      <c r="A937" s="27">
        <v>935</v>
      </c>
      <c r="B937" s="29">
        <v>7071454</v>
      </c>
      <c r="C937" s="29" t="str">
        <f ca="1">IFERROR(__xludf.DUMMYFUNCTION("GOOGLETRANSLATE(C6782,""en"",""hr"")"),"Ljepljiva ploča")</f>
        <v>Ljepljiva ploča</v>
      </c>
      <c r="D937" s="28" t="s">
        <v>11</v>
      </c>
      <c r="E937" s="29">
        <v>1</v>
      </c>
      <c r="F937" s="17"/>
      <c r="I937" s="4" t="b">
        <f>INT(F935*100)=(F935*100)</f>
        <v>1</v>
      </c>
    </row>
    <row r="938" spans="1:9" ht="25.5" customHeight="1" x14ac:dyDescent="0.2">
      <c r="A938" s="27">
        <v>936</v>
      </c>
      <c r="B938" s="29">
        <v>7071455</v>
      </c>
      <c r="C938" s="29" t="str">
        <f ca="1">IFERROR(__xludf.DUMMYFUNCTION("GOOGLETRANSLATE(C6780,""en"",""hr"")"),"Ljepljiva ploča")</f>
        <v>Ljepljiva ploča</v>
      </c>
      <c r="D938" s="28" t="s">
        <v>11</v>
      </c>
      <c r="E938" s="29">
        <v>1</v>
      </c>
      <c r="F938" s="17"/>
    </row>
    <row r="939" spans="1:9" ht="25.5" customHeight="1" x14ac:dyDescent="0.2">
      <c r="A939" s="27">
        <v>937</v>
      </c>
      <c r="B939" s="29">
        <v>7071456</v>
      </c>
      <c r="C939" s="29" t="str">
        <f ca="1">IFERROR(__xludf.DUMMYFUNCTION("GOOGLETRANSLATE(C6774,""en"",""hr"")"),"Ljepljiva ploča")</f>
        <v>Ljepljiva ploča</v>
      </c>
      <c r="D939" s="28" t="s">
        <v>11</v>
      </c>
      <c r="E939" s="29">
        <v>1</v>
      </c>
      <c r="F939" s="17"/>
    </row>
    <row r="940" spans="1:9" ht="25.5" customHeight="1" x14ac:dyDescent="0.2">
      <c r="A940" s="27">
        <v>938</v>
      </c>
      <c r="B940" s="29">
        <v>7071457</v>
      </c>
      <c r="C940" s="29" t="str">
        <f ca="1">IFERROR(__xludf.DUMMYFUNCTION("GOOGLETRANSLATE(C6792,""en"",""hr"")"),"Ljepljiva ploča")</f>
        <v>Ljepljiva ploča</v>
      </c>
      <c r="D940" s="28" t="s">
        <v>11</v>
      </c>
      <c r="E940" s="29">
        <v>1</v>
      </c>
      <c r="F940" s="17"/>
    </row>
    <row r="941" spans="1:9" ht="25.5" customHeight="1" x14ac:dyDescent="0.2">
      <c r="A941" s="27">
        <v>939</v>
      </c>
      <c r="B941" s="29">
        <v>7071458</v>
      </c>
      <c r="C941" s="29" t="str">
        <f ca="1">IFERROR(__xludf.DUMMYFUNCTION("GOOGLETRANSLATE(C6778,""en"",""hr"")"),"Ljepljiva ploča")</f>
        <v>Ljepljiva ploča</v>
      </c>
      <c r="D941" s="28" t="s">
        <v>11</v>
      </c>
      <c r="E941" s="29">
        <v>1</v>
      </c>
      <c r="F941" s="17"/>
      <c r="I941" s="4" t="b">
        <f>INT(F939*100)=(F939*100)</f>
        <v>1</v>
      </c>
    </row>
    <row r="942" spans="1:9" ht="25.5" customHeight="1" x14ac:dyDescent="0.2">
      <c r="A942" s="27">
        <v>940</v>
      </c>
      <c r="B942" s="29">
        <v>7071459</v>
      </c>
      <c r="C942" s="29" t="str">
        <f ca="1">IFERROR(__xludf.DUMMYFUNCTION("GOOGLETRANSLATE(C6765,""en"",""hr"")"),"Ljepljiva ploča")</f>
        <v>Ljepljiva ploča</v>
      </c>
      <c r="D942" s="28" t="s">
        <v>11</v>
      </c>
      <c r="E942" s="29">
        <v>1</v>
      </c>
      <c r="F942" s="17"/>
    </row>
    <row r="943" spans="1:9" ht="25.5" customHeight="1" x14ac:dyDescent="0.2">
      <c r="A943" s="27">
        <v>941</v>
      </c>
      <c r="B943" s="29">
        <v>7071460</v>
      </c>
      <c r="C943" s="29" t="str">
        <f ca="1">IFERROR(__xludf.DUMMYFUNCTION("GOOGLETRANSLATE(C6788,""en"",""hr"")"),"Ljepljiva ploča")</f>
        <v>Ljepljiva ploča</v>
      </c>
      <c r="D943" s="28" t="s">
        <v>11</v>
      </c>
      <c r="E943" s="29">
        <v>1</v>
      </c>
      <c r="F943" s="17"/>
    </row>
    <row r="944" spans="1:9" ht="25.5" customHeight="1" x14ac:dyDescent="0.2">
      <c r="A944" s="27">
        <v>942</v>
      </c>
      <c r="B944" s="29">
        <v>7071484</v>
      </c>
      <c r="C944" s="29" t="str">
        <f ca="1">IFERROR(__xludf.DUMMYFUNCTION("GOOGLETRANSLATE(C6776,""en"",""hr"")"),"Ljepljiva ploča")</f>
        <v>Ljepljiva ploča</v>
      </c>
      <c r="D944" s="28" t="s">
        <v>11</v>
      </c>
      <c r="E944" s="29">
        <v>1</v>
      </c>
      <c r="F944" s="17"/>
    </row>
    <row r="945" spans="1:9" ht="25.5" customHeight="1" x14ac:dyDescent="0.2">
      <c r="A945" s="27">
        <v>943</v>
      </c>
      <c r="B945" s="29">
        <v>7071496</v>
      </c>
      <c r="C945" s="29" t="str">
        <f ca="1">IFERROR(__xludf.DUMMYFUNCTION("GOOGLETRANSLATE(C4743,""en"",""hr"")"),"korice, bijele")</f>
        <v>korice, bijele</v>
      </c>
      <c r="D945" s="28" t="s">
        <v>11</v>
      </c>
      <c r="E945" s="29">
        <v>1</v>
      </c>
      <c r="F945" s="17"/>
    </row>
    <row r="946" spans="1:9" ht="25.5" customHeight="1" x14ac:dyDescent="0.2">
      <c r="A946" s="27">
        <v>944</v>
      </c>
      <c r="B946" s="29">
        <v>7071497</v>
      </c>
      <c r="C946" s="29" t="str">
        <f ca="1">IFERROR(__xludf.DUMMYFUNCTION("GOOGLETRANSLATE(C4744,""en"",""hr"")"),"Poklopac, bijeli")</f>
        <v>Poklopac, bijeli</v>
      </c>
      <c r="D946" s="28" t="s">
        <v>11</v>
      </c>
      <c r="E946" s="29">
        <v>1</v>
      </c>
      <c r="F946" s="17"/>
    </row>
    <row r="947" spans="1:9" ht="25.5" customHeight="1" x14ac:dyDescent="0.2">
      <c r="A947" s="27">
        <v>945</v>
      </c>
      <c r="B947" s="29">
        <v>7071661</v>
      </c>
      <c r="C947" s="29" t="str">
        <f ca="1">IFERROR(__xludf.DUMMYFUNCTION("GOOGLETRANSLATE(C4875,""en"",""hr"")"),"Preklop, bijeli")</f>
        <v>Preklop, bijeli</v>
      </c>
      <c r="D947" s="28" t="s">
        <v>11</v>
      </c>
      <c r="E947" s="29">
        <v>1</v>
      </c>
      <c r="F947" s="17"/>
    </row>
    <row r="948" spans="1:9" ht="25.5" customHeight="1" x14ac:dyDescent="0.2">
      <c r="A948" s="27">
        <v>946</v>
      </c>
      <c r="B948" s="29">
        <v>7071685</v>
      </c>
      <c r="C948" s="29" t="str">
        <f ca="1">IFERROR(__xludf.DUMMYFUNCTION("GOOGLETRANSLATE(C4746,""en"",""hr"")"),"Poklopac, bijeli")</f>
        <v>Poklopac, bijeli</v>
      </c>
      <c r="D948" s="28" t="s">
        <v>11</v>
      </c>
      <c r="E948" s="29">
        <v>1</v>
      </c>
      <c r="F948" s="17"/>
    </row>
    <row r="949" spans="1:9" ht="25.5" customHeight="1" x14ac:dyDescent="0.2">
      <c r="A949" s="27">
        <v>947</v>
      </c>
      <c r="B949" s="29">
        <v>7071688</v>
      </c>
      <c r="C949" s="29" t="str">
        <f ca="1">IFERROR(__xludf.DUMMYFUNCTION("GOOGLETRANSLATE(C4869,""en"",""hr"")"),"Poklopac, bijeli")</f>
        <v>Poklopac, bijeli</v>
      </c>
      <c r="D949" s="28" t="s">
        <v>11</v>
      </c>
      <c r="E949" s="29">
        <v>1</v>
      </c>
      <c r="F949" s="17"/>
    </row>
    <row r="950" spans="1:9" ht="25.5" customHeight="1" x14ac:dyDescent="0.2">
      <c r="A950" s="27">
        <v>948</v>
      </c>
      <c r="B950" s="29">
        <v>7071704</v>
      </c>
      <c r="C950" s="29" t="str">
        <f ca="1">IFERROR(__xludf.DUMMYFUNCTION("GOOGLETRANSLATE(C5381,""en"",""hr"")"),"Zaštita")</f>
        <v>Zaštita</v>
      </c>
      <c r="D950" s="28" t="s">
        <v>11</v>
      </c>
      <c r="E950" s="29">
        <v>1</v>
      </c>
      <c r="F950" s="17"/>
    </row>
    <row r="951" spans="1:9" ht="25.5" customHeight="1" x14ac:dyDescent="0.2">
      <c r="A951" s="27">
        <v>949</v>
      </c>
      <c r="B951" s="29">
        <v>7071709</v>
      </c>
      <c r="C951" s="29" t="str">
        <f ca="1">IFERROR(__xludf.DUMMYFUNCTION("GOOGLETRANSLATE(C5385,""en"",""hr"")"),"Zaštita")</f>
        <v>Zaštita</v>
      </c>
      <c r="D951" s="28" t="s">
        <v>11</v>
      </c>
      <c r="E951" s="29">
        <v>1</v>
      </c>
      <c r="F951" s="17"/>
    </row>
    <row r="952" spans="1:9" ht="25.5" customHeight="1" x14ac:dyDescent="0.2">
      <c r="A952" s="27">
        <v>950</v>
      </c>
      <c r="B952" s="29">
        <v>7071712</v>
      </c>
      <c r="C952" s="29" t="str">
        <f ca="1">IFERROR(__xludf.DUMMYFUNCTION("GOOGLETRANSLATE(C5382,""en"",""hr"")"),"Zaštita")</f>
        <v>Zaštita</v>
      </c>
      <c r="D952" s="28" t="s">
        <v>11</v>
      </c>
      <c r="E952" s="29">
        <v>1</v>
      </c>
      <c r="F952" s="17"/>
    </row>
    <row r="953" spans="1:9" ht="25.5" customHeight="1" x14ac:dyDescent="0.2">
      <c r="A953" s="27">
        <v>951</v>
      </c>
      <c r="B953" s="29">
        <v>7071714</v>
      </c>
      <c r="C953" s="29" t="str">
        <f ca="1">IFERROR(__xludf.DUMMYFUNCTION("GOOGLETRANSLATE(C5384,""en"",""hr"")"),"Zaštita")</f>
        <v>Zaštita</v>
      </c>
      <c r="D953" s="28" t="s">
        <v>11</v>
      </c>
      <c r="E953" s="29">
        <v>1</v>
      </c>
      <c r="F953" s="17"/>
    </row>
    <row r="954" spans="1:9" ht="25.5" customHeight="1" x14ac:dyDescent="0.2">
      <c r="A954" s="27">
        <v>952</v>
      </c>
      <c r="B954" s="29">
        <v>7071716</v>
      </c>
      <c r="C954" s="29" t="str">
        <f ca="1">IFERROR(__xludf.DUMMYFUNCTION("GOOGLETRANSLATE(C5380,""en"",""hr"")"),"Zaštita")</f>
        <v>Zaštita</v>
      </c>
      <c r="D954" s="28" t="s">
        <v>11</v>
      </c>
      <c r="E954" s="29">
        <v>1</v>
      </c>
      <c r="F954" s="17"/>
    </row>
    <row r="955" spans="1:9" ht="25.5" customHeight="1" x14ac:dyDescent="0.2">
      <c r="A955" s="27">
        <v>953</v>
      </c>
      <c r="B955" s="29">
        <v>7071717</v>
      </c>
      <c r="C955" s="29" t="str">
        <f ca="1">IFERROR(__xludf.DUMMYFUNCTION("GOOGLETRANSLATE(C5383,""en"",""hr"")"),"Zaštita")</f>
        <v>Zaštita</v>
      </c>
      <c r="D955" s="28" t="s">
        <v>11</v>
      </c>
      <c r="E955" s="29">
        <v>1</v>
      </c>
      <c r="F955" s="17"/>
    </row>
    <row r="956" spans="1:9" ht="25.5" customHeight="1" x14ac:dyDescent="0.2">
      <c r="A956" s="27">
        <v>954</v>
      </c>
      <c r="B956" s="29">
        <v>7071835</v>
      </c>
      <c r="C956" s="29" t="str">
        <f ca="1">IFERROR(__xludf.DUMMYFUNCTION("GOOGLETRANSLATE(C735,""en"",""hr"")"),"Držač stražnjeg mjenjača Cpl.")</f>
        <v>Držač stražnjeg mjenjača Cpl.</v>
      </c>
      <c r="D956" s="28" t="s">
        <v>11</v>
      </c>
      <c r="E956" s="29">
        <v>1</v>
      </c>
      <c r="F956" s="17"/>
    </row>
    <row r="957" spans="1:9" ht="25.5" customHeight="1" x14ac:dyDescent="0.2">
      <c r="A957" s="27">
        <v>955</v>
      </c>
      <c r="B957" s="29">
        <v>7071915</v>
      </c>
      <c r="C957" s="29" t="str">
        <f ca="1">IFERROR(__xludf.DUMMYFUNCTION("GOOGLETRANSLATE(C308,""en"",""hr"")"),"Zagrada")</f>
        <v>Zagrada</v>
      </c>
      <c r="D957" s="28" t="s">
        <v>11</v>
      </c>
      <c r="E957" s="29">
        <v>1</v>
      </c>
      <c r="F957" s="17"/>
    </row>
    <row r="958" spans="1:9" ht="25.5" customHeight="1" x14ac:dyDescent="0.2">
      <c r="A958" s="27">
        <v>956</v>
      </c>
      <c r="B958" s="29">
        <v>7071980</v>
      </c>
      <c r="C958" s="29" t="str">
        <f ca="1">IFERROR(__xludf.DUMMYFUNCTION("GOOGLETRANSLATE(C1554,""en"",""hr"")"),"Ploča za pričvršćivanje")</f>
        <v>Ploča za pričvršćivanje</v>
      </c>
      <c r="D958" s="28" t="s">
        <v>11</v>
      </c>
      <c r="E958" s="29">
        <v>1</v>
      </c>
      <c r="F958" s="17"/>
    </row>
    <row r="959" spans="1:9" ht="25.5" customHeight="1" x14ac:dyDescent="0.2">
      <c r="A959" s="27">
        <v>957</v>
      </c>
      <c r="B959" s="29">
        <v>7071982</v>
      </c>
      <c r="C959" s="29" t="str">
        <f ca="1">IFERROR(__xludf.DUMMYFUNCTION("GOOGLETRANSLATE(C1571,""en"",""hr"")"),"Ploča za pričvršćivanje")</f>
        <v>Ploča za pričvršćivanje</v>
      </c>
      <c r="D959" s="28" t="s">
        <v>11</v>
      </c>
      <c r="E959" s="29">
        <v>1</v>
      </c>
      <c r="F959" s="17"/>
    </row>
    <row r="960" spans="1:9" ht="25.5" customHeight="1" x14ac:dyDescent="0.2">
      <c r="A960" s="27">
        <v>958</v>
      </c>
      <c r="B960" s="29">
        <v>7071984</v>
      </c>
      <c r="C960" s="29" t="str">
        <f ca="1">IFERROR(__xludf.DUMMYFUNCTION("GOOGLETRANSLATE(C6418,""en"",""hr"")"),"Držač")</f>
        <v>Držač</v>
      </c>
      <c r="D960" s="28" t="s">
        <v>11</v>
      </c>
      <c r="E960" s="29">
        <v>1</v>
      </c>
      <c r="F960" s="17"/>
      <c r="I960" s="4" t="b">
        <f>INT(F958*100)=(F958*100)</f>
        <v>1</v>
      </c>
    </row>
    <row r="961" spans="1:9" ht="25.5" customHeight="1" x14ac:dyDescent="0.2">
      <c r="A961" s="27">
        <v>959</v>
      </c>
      <c r="B961" s="29">
        <v>7072085</v>
      </c>
      <c r="C961" s="29" t="str">
        <f ca="1">IFERROR(__xludf.DUMMYFUNCTION("GOOGLETRANSLATE(C1618,""en"",""hr"")"),"Držač")</f>
        <v>Držač</v>
      </c>
      <c r="D961" s="28" t="s">
        <v>11</v>
      </c>
      <c r="E961" s="29">
        <v>1</v>
      </c>
      <c r="F961" s="17"/>
    </row>
    <row r="962" spans="1:9" ht="25.5" customHeight="1" x14ac:dyDescent="0.2">
      <c r="A962" s="27">
        <v>960</v>
      </c>
      <c r="B962" s="29">
        <v>7072086</v>
      </c>
      <c r="C962" s="29" t="str">
        <f ca="1">IFERROR(__xludf.DUMMYFUNCTION("GOOGLETRANSLATE(C1617,""en"",""hr"")"),"Držač")</f>
        <v>Držač</v>
      </c>
      <c r="D962" s="28" t="s">
        <v>11</v>
      </c>
      <c r="E962" s="29">
        <v>1</v>
      </c>
      <c r="F962" s="17"/>
    </row>
    <row r="963" spans="1:9" ht="25.5" customHeight="1" x14ac:dyDescent="0.2">
      <c r="A963" s="27">
        <v>961</v>
      </c>
      <c r="B963" s="29">
        <v>7072087</v>
      </c>
      <c r="C963" s="29" t="str">
        <f ca="1">IFERROR(__xludf.DUMMYFUNCTION("GOOGLETRANSLATE(C5522,""en"",""hr"")"),"Zaštita")</f>
        <v>Zaštita</v>
      </c>
      <c r="D963" s="28" t="s">
        <v>11</v>
      </c>
      <c r="E963" s="29">
        <v>1</v>
      </c>
      <c r="F963" s="17"/>
      <c r="I963" s="4" t="b">
        <f>INT(F961*100)=(F961*100)</f>
        <v>1</v>
      </c>
    </row>
    <row r="964" spans="1:9" ht="25.5" customHeight="1" x14ac:dyDescent="0.2">
      <c r="A964" s="27">
        <v>962</v>
      </c>
      <c r="B964" s="29">
        <v>7072102</v>
      </c>
      <c r="C964" s="29" t="str">
        <f ca="1">IFERROR(__xludf.DUMMYFUNCTION("GOOGLETRANSLATE(C6291,""en"",""hr"")"),"Kabelski svežanj (+FO-WA)")</f>
        <v>Kabelski svežanj (+FO-WA)</v>
      </c>
      <c r="D964" s="28" t="s">
        <v>11</v>
      </c>
      <c r="E964" s="29">
        <v>1</v>
      </c>
      <c r="F964" s="17"/>
    </row>
    <row r="965" spans="1:9" ht="25.5" customHeight="1" x14ac:dyDescent="0.2">
      <c r="A965" s="27">
        <v>963</v>
      </c>
      <c r="B965" s="29">
        <v>7072168</v>
      </c>
      <c r="C965" s="29" t="str">
        <f ca="1">IFERROR(__xludf.DUMMYFUNCTION("GOOGLETRANSLATE(C5434,""en"",""hr"")"),"Prekidač")</f>
        <v>Prekidač</v>
      </c>
      <c r="D965" s="28" t="s">
        <v>11</v>
      </c>
      <c r="E965" s="29">
        <v>1</v>
      </c>
      <c r="F965" s="17"/>
    </row>
    <row r="966" spans="1:9" ht="25.5" customHeight="1" x14ac:dyDescent="0.2">
      <c r="A966" s="27">
        <v>964</v>
      </c>
      <c r="B966" s="29">
        <v>7072172</v>
      </c>
      <c r="C966" s="29" t="str">
        <f ca="1">IFERROR(__xludf.DUMMYFUNCTION("GOOGLETRANSLATE(C6666,""en"",""hr"")"),"stražar kap.")</f>
        <v>stražar kap.</v>
      </c>
      <c r="D966" s="28" t="s">
        <v>11</v>
      </c>
      <c r="E966" s="29">
        <v>1</v>
      </c>
      <c r="F966" s="17"/>
    </row>
    <row r="967" spans="1:9" ht="25.5" customHeight="1" x14ac:dyDescent="0.2">
      <c r="A967" s="27">
        <v>965</v>
      </c>
      <c r="B967" s="29">
        <v>7072185</v>
      </c>
      <c r="C967" s="29" t="str">
        <f ca="1">IFERROR(__xludf.DUMMYFUNCTION("GOOGLETRANSLATE(C6273,""en"",""hr"")"),"Ožičenje (+CH)")</f>
        <v>Ožičenje (+CH)</v>
      </c>
      <c r="D967" s="28" t="s">
        <v>11</v>
      </c>
      <c r="E967" s="29">
        <v>1</v>
      </c>
      <c r="F967" s="17"/>
      <c r="I967" s="4" t="b">
        <f>INT(F965*100)=(F965*100)</f>
        <v>1</v>
      </c>
    </row>
    <row r="968" spans="1:9" ht="25.5" customHeight="1" x14ac:dyDescent="0.2">
      <c r="A968" s="27">
        <v>966</v>
      </c>
      <c r="B968" s="29">
        <v>7072186</v>
      </c>
      <c r="C968" s="29" t="str">
        <f ca="1">IFERROR(__xludf.DUMMYFUNCTION("GOOGLETRANSLATE(C6310,""en"",""hr"")"),"Ožičenje (+TD-H)")</f>
        <v>Ožičenje (+TD-H)</v>
      </c>
      <c r="D968" s="28" t="s">
        <v>11</v>
      </c>
      <c r="E968" s="29">
        <v>1</v>
      </c>
      <c r="F968" s="17"/>
    </row>
    <row r="969" spans="1:9" ht="25.5" customHeight="1" x14ac:dyDescent="0.2">
      <c r="A969" s="27">
        <v>967</v>
      </c>
      <c r="B969" s="29">
        <v>7072208</v>
      </c>
      <c r="C969" s="29" t="str">
        <f ca="1">IFERROR(__xludf.DUMMYFUNCTION("GOOGLETRANSLATE(C5523,""en"",""hr"")"),"Brtvena ploča")</f>
        <v>Brtvena ploča</v>
      </c>
      <c r="D969" s="28" t="s">
        <v>11</v>
      </c>
      <c r="E969" s="29">
        <v>1</v>
      </c>
      <c r="F969" s="17"/>
    </row>
    <row r="970" spans="1:9" ht="25.5" customHeight="1" x14ac:dyDescent="0.2">
      <c r="A970" s="27">
        <v>968</v>
      </c>
      <c r="B970" s="29">
        <v>7072280</v>
      </c>
      <c r="C970" s="29" t="str">
        <f ca="1">IFERROR(__xludf.DUMMYFUNCTION("GOOGLETRANSLATE(C632,""en"",""hr"")"),"Prašina Lim")</f>
        <v>Prašina Lim</v>
      </c>
      <c r="D970" s="28" t="s">
        <v>11</v>
      </c>
      <c r="E970" s="29">
        <v>1</v>
      </c>
      <c r="F970" s="17"/>
    </row>
    <row r="971" spans="1:9" ht="25.5" customHeight="1" x14ac:dyDescent="0.2">
      <c r="A971" s="27">
        <v>969</v>
      </c>
      <c r="B971" s="29">
        <v>7072381</v>
      </c>
      <c r="C971" s="29" t="str">
        <f ca="1">IFERROR(__xludf.DUMMYFUNCTION("GOOGLETRANSLATE(C188,""en"",""hr"")"),"Crijevo za zrak punjenja radijator-motor")</f>
        <v>Crijevo za zrak punjenja radijator-motor</v>
      </c>
      <c r="D971" s="28" t="s">
        <v>11</v>
      </c>
      <c r="E971" s="29">
        <v>1</v>
      </c>
      <c r="F971" s="17"/>
    </row>
    <row r="972" spans="1:9" ht="25.5" customHeight="1" x14ac:dyDescent="0.2">
      <c r="A972" s="27">
        <v>970</v>
      </c>
      <c r="B972" s="29">
        <v>7072515</v>
      </c>
      <c r="C972" s="29" t="str">
        <f ca="1">IFERROR(__xludf.DUMMYFUNCTION("GOOGLETRANSLATE(C1070,""en"",""hr"")"),"Držač")</f>
        <v>Držač</v>
      </c>
      <c r="D972" s="28" t="s">
        <v>11</v>
      </c>
      <c r="E972" s="29">
        <v>1</v>
      </c>
      <c r="F972" s="17"/>
    </row>
    <row r="973" spans="1:9" ht="25.5" customHeight="1" x14ac:dyDescent="0.2">
      <c r="A973" s="27">
        <v>971</v>
      </c>
      <c r="B973" s="29">
        <v>7072601</v>
      </c>
      <c r="C973" s="29" t="str">
        <f ca="1">IFERROR(__xludf.DUMMYFUNCTION("GOOGLETRANSLATE(C1071,""en"",""hr"")"),"Držač")</f>
        <v>Držač</v>
      </c>
      <c r="D973" s="28" t="s">
        <v>11</v>
      </c>
      <c r="E973" s="29">
        <v>1</v>
      </c>
      <c r="F973" s="17"/>
    </row>
    <row r="974" spans="1:9" ht="25.5" customHeight="1" x14ac:dyDescent="0.2">
      <c r="A974" s="27">
        <v>972</v>
      </c>
      <c r="B974" s="29">
        <v>7072643</v>
      </c>
      <c r="C974" s="29" t="str">
        <f ca="1">IFERROR(__xludf.DUMMYFUNCTION("GOOGLETRANSLATE(C3837,""en"",""hr"")"),"Distributer")</f>
        <v>Distributer</v>
      </c>
      <c r="D974" s="28" t="s">
        <v>11</v>
      </c>
      <c r="E974" s="29">
        <v>1</v>
      </c>
      <c r="F974" s="17"/>
    </row>
    <row r="975" spans="1:9" ht="25.5" customHeight="1" x14ac:dyDescent="0.2">
      <c r="A975" s="27">
        <v>973</v>
      </c>
      <c r="B975" s="29">
        <v>7072756</v>
      </c>
      <c r="C975" s="29" t="str">
        <f ca="1">IFERROR(__xludf.DUMMYFUNCTION("GOOGLETRANSLATE(C1040,""en"",""hr"")"),"Suuport")</f>
        <v>Suuport</v>
      </c>
      <c r="D975" s="28" t="s">
        <v>11</v>
      </c>
      <c r="E975" s="29">
        <v>1</v>
      </c>
      <c r="F975" s="17"/>
    </row>
    <row r="976" spans="1:9" ht="25.5" customHeight="1" x14ac:dyDescent="0.2">
      <c r="A976" s="27">
        <v>974</v>
      </c>
      <c r="B976" s="29">
        <v>7072813</v>
      </c>
      <c r="C976" s="29" t="str">
        <f ca="1">IFERROR(__xludf.DUMMYFUNCTION("GOOGLETRANSLATE(C1354,""en"",""hr"")"),"Kraj ispušne cijevi")</f>
        <v>Kraj ispušne cijevi</v>
      </c>
      <c r="D976" s="28" t="s">
        <v>11</v>
      </c>
      <c r="E976" s="29">
        <v>1</v>
      </c>
      <c r="F976" s="17"/>
    </row>
    <row r="977" spans="1:9" ht="25.5" customHeight="1" x14ac:dyDescent="0.2">
      <c r="A977" s="27">
        <v>975</v>
      </c>
      <c r="B977" s="29">
        <v>7072831</v>
      </c>
      <c r="C977" s="29" t="str">
        <f ca="1">IFERROR(__xludf.DUMMYFUNCTION("GOOGLETRANSLATE(C4889,""en"",""hr"")"),"Držač desni")</f>
        <v>Držač desni</v>
      </c>
      <c r="D977" s="28" t="s">
        <v>11</v>
      </c>
      <c r="E977" s="29">
        <v>1</v>
      </c>
      <c r="F977" s="17"/>
    </row>
    <row r="978" spans="1:9" ht="25.5" customHeight="1" x14ac:dyDescent="0.2">
      <c r="A978" s="27">
        <v>976</v>
      </c>
      <c r="B978" s="29">
        <v>7072832</v>
      </c>
      <c r="C978" s="29" t="str">
        <f ca="1">IFERROR(__xludf.DUMMYFUNCTION("GOOGLETRANSLATE(C4891,""en"",""hr"")"),"Držač lijevi")</f>
        <v>Držač lijevi</v>
      </c>
      <c r="D978" s="28" t="s">
        <v>11</v>
      </c>
      <c r="E978" s="29">
        <v>1</v>
      </c>
      <c r="F978" s="17"/>
    </row>
    <row r="979" spans="1:9" ht="25.5" customHeight="1" x14ac:dyDescent="0.2">
      <c r="A979" s="27">
        <v>977</v>
      </c>
      <c r="B979" s="29">
        <v>7072833</v>
      </c>
      <c r="C979" s="29" t="str">
        <f ca="1">IFERROR(__xludf.DUMMYFUNCTION("GOOGLETRANSLATE(C896,""en"",""hr"")"),"Držač")</f>
        <v>Držač</v>
      </c>
      <c r="D979" s="28" t="s">
        <v>11</v>
      </c>
      <c r="E979" s="29">
        <v>1</v>
      </c>
      <c r="F979" s="17"/>
    </row>
    <row r="980" spans="1:9" ht="25.5" customHeight="1" x14ac:dyDescent="0.2">
      <c r="A980" s="27">
        <v>978</v>
      </c>
      <c r="B980" s="29">
        <v>7072845</v>
      </c>
      <c r="C980" s="29" t="str">
        <f ca="1">IFERROR(__xludf.DUMMYFUNCTION("GOOGLETRANSLATE(C1962,""en"",""hr"")"),"Zglobna osovina kpl.")</f>
        <v>Zglobna osovina kpl.</v>
      </c>
      <c r="D980" s="28" t="s">
        <v>11</v>
      </c>
      <c r="E980" s="29">
        <v>1</v>
      </c>
      <c r="F980" s="17"/>
    </row>
    <row r="981" spans="1:9" ht="25.5" customHeight="1" x14ac:dyDescent="0.2">
      <c r="A981" s="27">
        <v>979</v>
      </c>
      <c r="B981" s="29">
        <v>7072848</v>
      </c>
      <c r="C981" s="29" t="str">
        <f ca="1">IFERROR(__xludf.DUMMYFUNCTION("GOOGLETRANSLATE(C4747,""en"",""hr"")"),"Držač")</f>
        <v>Držač</v>
      </c>
      <c r="D981" s="28" t="s">
        <v>11</v>
      </c>
      <c r="E981" s="29">
        <v>1</v>
      </c>
      <c r="F981" s="17"/>
    </row>
    <row r="982" spans="1:9" ht="25.5" customHeight="1" x14ac:dyDescent="0.2">
      <c r="A982" s="27">
        <v>980</v>
      </c>
      <c r="B982" s="29">
        <v>7072858</v>
      </c>
      <c r="C982" s="29" t="str">
        <f ca="1">IFERROR(__xludf.DUMMYFUNCTION("GOOGLETRANSLATE(C1965,""en"",""hr"")"),"Oružni kapl. lijevo")</f>
        <v>Oružni kapl. lijevo</v>
      </c>
      <c r="D982" s="28" t="s">
        <v>11</v>
      </c>
      <c r="E982" s="29">
        <v>1</v>
      </c>
      <c r="F982" s="17"/>
    </row>
    <row r="983" spans="1:9" ht="25.5" customHeight="1" x14ac:dyDescent="0.2">
      <c r="A983" s="27">
        <v>981</v>
      </c>
      <c r="B983" s="29">
        <v>7072859</v>
      </c>
      <c r="C983" s="29" t="str">
        <f ca="1">IFERROR(__xludf.DUMMYFUNCTION("GOOGLETRANSLATE(C1964,""en"",""hr"")"),"Oružni kapl. pravo")</f>
        <v>Oružni kapl. pravo</v>
      </c>
      <c r="D983" s="28" t="s">
        <v>11</v>
      </c>
      <c r="E983" s="29">
        <v>1</v>
      </c>
      <c r="F983" s="17"/>
    </row>
    <row r="984" spans="1:9" ht="25.5" customHeight="1" x14ac:dyDescent="0.2">
      <c r="A984" s="27">
        <v>982</v>
      </c>
      <c r="B984" s="29">
        <v>7072880</v>
      </c>
      <c r="C984" s="29" t="str">
        <f ca="1">IFERROR(__xludf.DUMMYFUNCTION("GOOGLETRANSLATE(C3584,""en"",""hr"")"),"Spojka")</f>
        <v>Spojka</v>
      </c>
      <c r="D984" s="28" t="s">
        <v>11</v>
      </c>
      <c r="E984" s="29">
        <v>1</v>
      </c>
      <c r="F984" s="17"/>
    </row>
    <row r="985" spans="1:9" ht="25.5" customHeight="1" x14ac:dyDescent="0.2">
      <c r="A985" s="27">
        <v>983</v>
      </c>
      <c r="B985" s="29">
        <v>7072883</v>
      </c>
      <c r="C985" s="29" t="str">
        <f ca="1">IFERROR(__xludf.DUMMYFUNCTION("GOOGLETRANSLATE(C3585,""en"",""hr"")"),"Vodič")</f>
        <v>Vodič</v>
      </c>
      <c r="D985" s="28" t="s">
        <v>11</v>
      </c>
      <c r="E985" s="29">
        <v>1</v>
      </c>
      <c r="F985" s="17"/>
      <c r="I985" s="4" t="b">
        <f>INT(F983*100)=(F983*100)</f>
        <v>1</v>
      </c>
    </row>
    <row r="986" spans="1:9" ht="25.5" customHeight="1" x14ac:dyDescent="0.2">
      <c r="A986" s="27">
        <v>984</v>
      </c>
      <c r="B986" s="29">
        <v>7072885</v>
      </c>
      <c r="C986" s="29" t="str">
        <f ca="1">IFERROR(__xludf.DUMMYFUNCTION("GOOGLETRANSLATE(C3582,""en"",""hr"")"),"Odvodna cijev Cpl.")</f>
        <v>Odvodna cijev Cpl.</v>
      </c>
      <c r="D986" s="28" t="s">
        <v>11</v>
      </c>
      <c r="E986" s="29">
        <v>1</v>
      </c>
      <c r="F986" s="17"/>
    </row>
    <row r="987" spans="1:9" ht="25.5" customHeight="1" x14ac:dyDescent="0.2">
      <c r="A987" s="27">
        <v>985</v>
      </c>
      <c r="B987" s="29">
        <v>7072890</v>
      </c>
      <c r="C987" s="29" t="str">
        <f ca="1">IFERROR(__xludf.DUMMYFUNCTION("GOOGLETRANSLATE(C3586,""en"",""hr"")"),"Dio vodiča")</f>
        <v>Dio vodiča</v>
      </c>
      <c r="D987" s="28" t="s">
        <v>11</v>
      </c>
      <c r="E987" s="29">
        <v>1</v>
      </c>
      <c r="F987" s="17"/>
    </row>
    <row r="988" spans="1:9" ht="25.5" customHeight="1" x14ac:dyDescent="0.2">
      <c r="A988" s="27">
        <v>986</v>
      </c>
      <c r="B988" s="29">
        <v>7072927</v>
      </c>
      <c r="C988" s="29" t="str">
        <f ca="1">IFERROR(__xludf.DUMMYFUNCTION("GOOGLETRANSLATE(C4573,""en"",""hr"")"),"Restriktor")</f>
        <v>Restriktor</v>
      </c>
      <c r="D988" s="28" t="s">
        <v>11</v>
      </c>
      <c r="E988" s="29">
        <v>1</v>
      </c>
      <c r="F988" s="17"/>
      <c r="I988" s="4" t="b">
        <f>INT(F986*100)=(F986*100)</f>
        <v>1</v>
      </c>
    </row>
    <row r="989" spans="1:9" ht="25.5" customHeight="1" x14ac:dyDescent="0.2">
      <c r="A989" s="27">
        <v>987</v>
      </c>
      <c r="B989" s="29">
        <v>7072932</v>
      </c>
      <c r="C989" s="29" t="str">
        <f ca="1">IFERROR(__xludf.DUMMYFUNCTION("GOOGLETRANSLATE(C1972,""en"",""hr"")"),"Čahura za plinsku tlačnu oprugu")</f>
        <v>Čahura za plinsku tlačnu oprugu</v>
      </c>
      <c r="D989" s="28" t="s">
        <v>11</v>
      </c>
      <c r="E989" s="29">
        <v>1</v>
      </c>
      <c r="F989" s="17"/>
    </row>
    <row r="990" spans="1:9" ht="25.5" customHeight="1" x14ac:dyDescent="0.2">
      <c r="A990" s="27">
        <v>988</v>
      </c>
      <c r="B990" s="29">
        <v>7072933</v>
      </c>
      <c r="C990" s="29" t="str">
        <f ca="1">IFERROR(__xludf.DUMMYFUNCTION("GOOGLETRANSLATE(C1973,""en"",""hr"")"),"Čahura")</f>
        <v>Čahura</v>
      </c>
      <c r="D990" s="28" t="s">
        <v>11</v>
      </c>
      <c r="E990" s="29">
        <v>1</v>
      </c>
      <c r="F990" s="17"/>
    </row>
    <row r="991" spans="1:9" ht="25.5" customHeight="1" x14ac:dyDescent="0.2">
      <c r="A991" s="27">
        <v>989</v>
      </c>
      <c r="B991" s="29">
        <v>7072945</v>
      </c>
      <c r="C991" s="29" t="str">
        <f ca="1">IFERROR(__xludf.DUMMYFUNCTION("GOOGLETRANSLATE(C1969,""en"",""hr"")"),"Prednja konzola Cpl. pravo")</f>
        <v>Prednja konzola Cpl. pravo</v>
      </c>
      <c r="D991" s="28" t="s">
        <v>11</v>
      </c>
      <c r="E991" s="29">
        <v>1</v>
      </c>
      <c r="F991" s="17"/>
    </row>
    <row r="992" spans="1:9" ht="25.5" customHeight="1" x14ac:dyDescent="0.2">
      <c r="A992" s="27">
        <v>990</v>
      </c>
      <c r="B992" s="29">
        <v>7072949</v>
      </c>
      <c r="C992" s="29" t="str">
        <f ca="1">IFERROR(__xludf.DUMMYFUNCTION("GOOGLETRANSLATE(C1970,""en"",""hr"")"),"Prednja konzola Cpl. lijevo")</f>
        <v>Prednja konzola Cpl. lijevo</v>
      </c>
      <c r="D992" s="28" t="s">
        <v>11</v>
      </c>
      <c r="E992" s="29">
        <v>1</v>
      </c>
      <c r="F992" s="17"/>
      <c r="I992" s="4" t="b">
        <f>INT(F990*100)=(F990*100)</f>
        <v>1</v>
      </c>
    </row>
    <row r="993" spans="1:6" ht="25.5" customHeight="1" x14ac:dyDescent="0.2">
      <c r="A993" s="27">
        <v>991</v>
      </c>
      <c r="B993" s="29">
        <v>7073023</v>
      </c>
      <c r="C993" s="29" t="str">
        <f ca="1">IFERROR(__xludf.DUMMYFUNCTION("GOOGLETRANSLATE(C842,""en"",""hr"")"),"List")</f>
        <v>List</v>
      </c>
      <c r="D993" s="28" t="s">
        <v>11</v>
      </c>
      <c r="E993" s="29">
        <v>1</v>
      </c>
      <c r="F993" s="17"/>
    </row>
    <row r="994" spans="1:6" ht="25.5" customHeight="1" x14ac:dyDescent="0.2">
      <c r="A994" s="27">
        <v>992</v>
      </c>
      <c r="B994" s="29">
        <v>7073030</v>
      </c>
      <c r="C994" s="29" t="str">
        <f ca="1">IFERROR(__xludf.DUMMYFUNCTION("GOOGLETRANSLATE(C5582,""en"",""hr"")"),"Zaštita")</f>
        <v>Zaštita</v>
      </c>
      <c r="D994" s="28" t="s">
        <v>11</v>
      </c>
      <c r="E994" s="29">
        <v>1</v>
      </c>
      <c r="F994" s="17"/>
    </row>
    <row r="995" spans="1:6" ht="25.5" customHeight="1" x14ac:dyDescent="0.2">
      <c r="A995" s="27">
        <v>993</v>
      </c>
      <c r="B995" s="29">
        <v>7073044</v>
      </c>
      <c r="C995" s="29" t="str">
        <f ca="1">IFERROR(__xludf.DUMMYFUNCTION("GOOGLETRANSLATE(C833,""en"",""hr"")"),"Držač")</f>
        <v>Držač</v>
      </c>
      <c r="D995" s="28" t="s">
        <v>11</v>
      </c>
      <c r="E995" s="29">
        <v>1</v>
      </c>
      <c r="F995" s="17"/>
    </row>
    <row r="996" spans="1:6" ht="25.5" customHeight="1" x14ac:dyDescent="0.2">
      <c r="A996" s="27">
        <v>994</v>
      </c>
      <c r="B996" s="29">
        <v>7073058</v>
      </c>
      <c r="C996" s="29" t="str">
        <f ca="1">IFERROR(__xludf.DUMMYFUNCTION("GOOGLETRANSLATE(C6790,""en"",""hr"")"),"Ljepljiva ploča")</f>
        <v>Ljepljiva ploča</v>
      </c>
      <c r="D996" s="28" t="s">
        <v>11</v>
      </c>
      <c r="E996" s="29">
        <v>1</v>
      </c>
      <c r="F996" s="17"/>
    </row>
    <row r="997" spans="1:6" ht="25.5" customHeight="1" x14ac:dyDescent="0.2">
      <c r="A997" s="27">
        <v>995</v>
      </c>
      <c r="B997" s="29">
        <v>7073060</v>
      </c>
      <c r="C997" s="29" t="str">
        <f ca="1">IFERROR(__xludf.DUMMYFUNCTION("GOOGLETRANSLATE(C6818,""en"",""hr"")"),"Set samoljepljivih znakova, ANSI DV")</f>
        <v>Set samoljepljivih znakova, ANSI DV</v>
      </c>
      <c r="D997" s="28" t="s">
        <v>11</v>
      </c>
      <c r="E997" s="29">
        <v>1</v>
      </c>
      <c r="F997" s="17"/>
    </row>
    <row r="998" spans="1:6" ht="25.5" customHeight="1" x14ac:dyDescent="0.2">
      <c r="A998" s="27">
        <v>996</v>
      </c>
      <c r="B998" s="29">
        <v>7073062</v>
      </c>
      <c r="C998" s="29" t="str">
        <f ca="1">IFERROR(__xludf.DUMMYFUNCTION("GOOGLETRANSLATE(C6817,""en"",""hr"")"),"Oznake CityCat V20e, ANSI EV")</f>
        <v>Oznake CityCat V20e, ANSI EV</v>
      </c>
      <c r="D998" s="28" t="s">
        <v>11</v>
      </c>
      <c r="E998" s="29">
        <v>1</v>
      </c>
      <c r="F998" s="17"/>
    </row>
    <row r="999" spans="1:6" ht="25.5" customHeight="1" x14ac:dyDescent="0.2">
      <c r="A999" s="27">
        <v>997</v>
      </c>
      <c r="B999" s="29">
        <v>7073063</v>
      </c>
      <c r="C999" s="29" t="str">
        <f ca="1">IFERROR(__xludf.DUMMYFUNCTION("GOOGLETRANSLATE(C6816,""en"",""hr"")"),"Ljepljivi set natpisa CityCat V20, ANSI Common")</f>
        <v>Ljepljivi set natpisa CityCat V20, ANSI Common</v>
      </c>
      <c r="D999" s="28" t="s">
        <v>11</v>
      </c>
      <c r="E999" s="29">
        <v>1</v>
      </c>
      <c r="F999" s="17"/>
    </row>
    <row r="1000" spans="1:6" ht="25.5" customHeight="1" x14ac:dyDescent="0.2">
      <c r="A1000" s="27">
        <v>998</v>
      </c>
      <c r="B1000" s="29">
        <v>7073073</v>
      </c>
      <c r="C1000" s="29" t="str">
        <f ca="1">IFERROR(__xludf.DUMMYFUNCTION("GOOGLETRANSLATE(C3406,""en"",""hr"")"),"Poluga")</f>
        <v>Poluga</v>
      </c>
      <c r="D1000" s="28" t="s">
        <v>11</v>
      </c>
      <c r="E1000" s="29">
        <v>1</v>
      </c>
      <c r="F1000" s="17"/>
    </row>
    <row r="1001" spans="1:6" ht="25.5" customHeight="1" x14ac:dyDescent="0.2">
      <c r="A1001" s="27">
        <v>999</v>
      </c>
      <c r="B1001" s="29">
        <v>7073074</v>
      </c>
      <c r="C1001" s="29" t="str">
        <f ca="1">IFERROR(__xludf.DUMMYFUNCTION("GOOGLETRANSLATE(C3407,""en"",""hr"")"),"Poluga")</f>
        <v>Poluga</v>
      </c>
      <c r="D1001" s="28" t="s">
        <v>11</v>
      </c>
      <c r="E1001" s="29">
        <v>1</v>
      </c>
      <c r="F1001" s="17"/>
    </row>
    <row r="1002" spans="1:6" ht="25.5" customHeight="1" x14ac:dyDescent="0.2">
      <c r="A1002" s="27">
        <v>1000</v>
      </c>
      <c r="B1002" s="29">
        <v>7073088</v>
      </c>
      <c r="C1002" s="29" t="str">
        <f ca="1">IFERROR(__xludf.DUMMYFUNCTION("GOOGLETRANSLATE(C4261,""en"",""hr"")"),"Usisna cijev Cpl.")</f>
        <v>Usisna cijev Cpl.</v>
      </c>
      <c r="D1002" s="28" t="s">
        <v>11</v>
      </c>
      <c r="E1002" s="29">
        <v>1</v>
      </c>
      <c r="F1002" s="17"/>
    </row>
    <row r="1003" spans="1:6" ht="25.5" customHeight="1" x14ac:dyDescent="0.2">
      <c r="A1003" s="27">
        <v>1001</v>
      </c>
      <c r="B1003" s="29">
        <v>7073090</v>
      </c>
      <c r="C1003" s="29" t="str">
        <f ca="1">IFERROR(__xludf.DUMMYFUNCTION("GOOGLETRANSLATE(C2922,""en"",""hr"")"),"Ruka")</f>
        <v>Ruka</v>
      </c>
      <c r="D1003" s="28" t="s">
        <v>11</v>
      </c>
      <c r="E1003" s="29">
        <v>1</v>
      </c>
      <c r="F1003" s="17"/>
    </row>
    <row r="1004" spans="1:6" ht="25.5" customHeight="1" x14ac:dyDescent="0.2">
      <c r="A1004" s="27">
        <v>1002</v>
      </c>
      <c r="B1004" s="29">
        <v>7073117</v>
      </c>
      <c r="C1004" s="29" t="str">
        <f ca="1">IFERROR(__xludf.DUMMYFUNCTION("GOOGLETRANSLATE(C4270,""en"",""hr"")"),"Zaštitni list")</f>
        <v>Zaštitni list</v>
      </c>
      <c r="D1004" s="28" t="s">
        <v>11</v>
      </c>
      <c r="E1004" s="29">
        <v>1</v>
      </c>
      <c r="F1004" s="17"/>
    </row>
    <row r="1005" spans="1:6" ht="25.5" customHeight="1" x14ac:dyDescent="0.2">
      <c r="A1005" s="27">
        <v>1003</v>
      </c>
      <c r="B1005" s="29">
        <v>7073118</v>
      </c>
      <c r="C1005" s="29" t="str">
        <f ca="1">IFERROR(__xludf.DUMMYFUNCTION("GOOGLETRANSLATE(C46,""en"",""hr"")"),"Deflektor Cpl.")</f>
        <v>Deflektor Cpl.</v>
      </c>
      <c r="D1005" s="28" t="s">
        <v>11</v>
      </c>
      <c r="E1005" s="29">
        <v>1</v>
      </c>
      <c r="F1005" s="17"/>
    </row>
    <row r="1006" spans="1:6" ht="25.5" customHeight="1" x14ac:dyDescent="0.2">
      <c r="A1006" s="27">
        <v>1004</v>
      </c>
      <c r="B1006" s="29">
        <v>7073128</v>
      </c>
      <c r="C1006" s="29" t="str">
        <f ca="1">IFERROR(__xludf.DUMMYFUNCTION("GOOGLETRANSLATE(C1512,""en"",""hr"")"),"Zaštitna kapuljača")</f>
        <v>Zaštitna kapuljača</v>
      </c>
      <c r="D1006" s="28" t="s">
        <v>11</v>
      </c>
      <c r="E1006" s="29">
        <v>1</v>
      </c>
      <c r="F1006" s="17"/>
    </row>
    <row r="1007" spans="1:6" ht="25.5" customHeight="1" x14ac:dyDescent="0.2">
      <c r="A1007" s="27">
        <v>1005</v>
      </c>
      <c r="B1007" s="29">
        <v>7073148</v>
      </c>
      <c r="C1007" s="29" t="str">
        <f ca="1">IFERROR(__xludf.DUMMYFUNCTION("GOOGLETRANSLATE(C6283,""en"",""hr"")"),"Kabel (-) (+O-JS)")</f>
        <v>Kabel (-) (+O-JS)</v>
      </c>
      <c r="D1007" s="28" t="s">
        <v>11</v>
      </c>
      <c r="E1007" s="29">
        <v>1</v>
      </c>
      <c r="F1007" s="17"/>
    </row>
    <row r="1008" spans="1:6" ht="25.5" customHeight="1" x14ac:dyDescent="0.2">
      <c r="A1008" s="27">
        <v>1006</v>
      </c>
      <c r="B1008" s="29">
        <v>7073153</v>
      </c>
      <c r="C1008" s="29" t="str">
        <f ca="1">IFERROR(__xludf.DUMMYFUNCTION("GOOGLETRANSLATE(C6281,""en"",""hr"")"),"Kabel (+) (+O-JS)")</f>
        <v>Kabel (+) (+O-JS)</v>
      </c>
      <c r="D1008" s="28" t="s">
        <v>11</v>
      </c>
      <c r="E1008" s="29">
        <v>1</v>
      </c>
      <c r="F1008" s="17"/>
    </row>
    <row r="1009" spans="1:9" ht="25.5" customHeight="1" x14ac:dyDescent="0.2">
      <c r="A1009" s="27">
        <v>1007</v>
      </c>
      <c r="B1009" s="29">
        <v>7073178</v>
      </c>
      <c r="C1009" s="29" t="str">
        <f ca="1">IFERROR(__xludf.DUMMYFUNCTION("GOOGLETRANSLATE(C4587,""en"",""hr"")"),"Upravljački blok Ručna pumpa s rasterećenjem")</f>
        <v>Upravljački blok Ručna pumpa s rasterećenjem</v>
      </c>
      <c r="D1009" s="28" t="s">
        <v>11</v>
      </c>
      <c r="E1009" s="29">
        <v>1</v>
      </c>
      <c r="F1009" s="17"/>
    </row>
    <row r="1010" spans="1:9" ht="25.5" customHeight="1" x14ac:dyDescent="0.2">
      <c r="A1010" s="27">
        <v>1008</v>
      </c>
      <c r="B1010" s="29">
        <v>7073190</v>
      </c>
      <c r="C1010" s="29" t="str">
        <f ca="1">IFERROR(__xludf.DUMMYFUNCTION("GOOGLETRANSLATE(C3002,""en"",""hr"")"),"Spojni komad")</f>
        <v>Spojni komad</v>
      </c>
      <c r="D1010" s="28" t="s">
        <v>11</v>
      </c>
      <c r="E1010" s="29">
        <v>1</v>
      </c>
      <c r="F1010" s="17"/>
    </row>
    <row r="1011" spans="1:9" ht="25.5" customHeight="1" x14ac:dyDescent="0.2">
      <c r="A1011" s="27">
        <v>1009</v>
      </c>
      <c r="B1011" s="29">
        <v>7073198</v>
      </c>
      <c r="C1011" s="29" t="str">
        <f ca="1">IFERROR(__xludf.DUMMYFUNCTION("GOOGLETRANSLATE(C2999,""en"",""hr"")"),"Šipka za mjerenje kratka")</f>
        <v>Šipka za mjerenje kratka</v>
      </c>
      <c r="D1011" s="28" t="s">
        <v>11</v>
      </c>
      <c r="E1011" s="29">
        <v>1</v>
      </c>
      <c r="F1011" s="17"/>
      <c r="I1011" s="4" t="b">
        <f>INT(F1009*100)=(F1009*100)</f>
        <v>1</v>
      </c>
    </row>
    <row r="1012" spans="1:9" ht="25.5" customHeight="1" x14ac:dyDescent="0.2">
      <c r="A1012" s="27">
        <v>1010</v>
      </c>
      <c r="B1012" s="29">
        <v>7073200</v>
      </c>
      <c r="C1012" s="29" t="str">
        <f ca="1">IFERROR(__xludf.DUMMYFUNCTION("GOOGLETRANSLATE(C928,""en"",""hr"")"),"Priključak crijeva")</f>
        <v>Priključak crijeva</v>
      </c>
      <c r="D1012" s="28" t="s">
        <v>11</v>
      </c>
      <c r="E1012" s="29">
        <v>1</v>
      </c>
      <c r="F1012" s="17"/>
    </row>
    <row r="1013" spans="1:9" ht="25.5" customHeight="1" x14ac:dyDescent="0.2">
      <c r="A1013" s="27">
        <v>1011</v>
      </c>
      <c r="B1013" s="29">
        <v>7073201</v>
      </c>
      <c r="C1013" s="29" t="str">
        <f ca="1">IFERROR(__xludf.DUMMYFUNCTION("GOOGLETRANSLATE(C3008,""en"",""hr"")"),"Dugačka mjerna šipka")</f>
        <v>Dugačka mjerna šipka</v>
      </c>
      <c r="D1013" s="28" t="s">
        <v>11</v>
      </c>
      <c r="E1013" s="29">
        <v>1</v>
      </c>
      <c r="F1013" s="17"/>
    </row>
    <row r="1014" spans="1:9" ht="25.5" customHeight="1" x14ac:dyDescent="0.2">
      <c r="A1014" s="27">
        <v>1012</v>
      </c>
      <c r="B1014" s="29">
        <v>7073246</v>
      </c>
      <c r="C1014" s="29" t="str">
        <f ca="1">IFERROR(__xludf.DUMMYFUNCTION("GOOGLETRANSLATE(C58,""en"",""hr"")"),"Usisna traka")</f>
        <v>Usisna traka</v>
      </c>
      <c r="D1014" s="28" t="s">
        <v>11</v>
      </c>
      <c r="E1014" s="29">
        <v>1</v>
      </c>
      <c r="F1014" s="17"/>
      <c r="I1014" s="4" t="b">
        <f>INT(F1012*100)=(F1012*100)</f>
        <v>1</v>
      </c>
    </row>
    <row r="1015" spans="1:9" ht="25.5" customHeight="1" x14ac:dyDescent="0.2">
      <c r="A1015" s="27">
        <v>1013</v>
      </c>
      <c r="B1015" s="29">
        <v>7073254</v>
      </c>
      <c r="C1015" s="29" t="str">
        <f ca="1">IFERROR(__xludf.DUMMYFUNCTION("GOOGLETRANSLATE(C367,""en"",""hr"")"),"Zaštita od prskanja")</f>
        <v>Zaštita od prskanja</v>
      </c>
      <c r="D1015" s="28" t="s">
        <v>11</v>
      </c>
      <c r="E1015" s="29">
        <v>1</v>
      </c>
      <c r="F1015" s="17"/>
    </row>
    <row r="1016" spans="1:9" ht="25.5" customHeight="1" x14ac:dyDescent="0.2">
      <c r="A1016" s="27">
        <v>1014</v>
      </c>
      <c r="B1016" s="29">
        <v>7073261</v>
      </c>
      <c r="C1016" s="29" t="str">
        <f ca="1">IFERROR(__xludf.DUMMYFUNCTION("GOOGLETRANSLATE(C1876,""en"",""hr"")"),"Stop")</f>
        <v>Stop</v>
      </c>
      <c r="D1016" s="28" t="s">
        <v>11</v>
      </c>
      <c r="E1016" s="29">
        <v>1</v>
      </c>
      <c r="F1016" s="17"/>
    </row>
    <row r="1017" spans="1:9" ht="25.5" customHeight="1" x14ac:dyDescent="0.2">
      <c r="A1017" s="27">
        <v>1015</v>
      </c>
      <c r="B1017" s="29">
        <v>7073263</v>
      </c>
      <c r="C1017" s="29" t="str">
        <f ca="1">IFERROR(__xludf.DUMMYFUNCTION("GOOGLETRANSLATE(C1877,""en"",""hr"")"),"Stop")</f>
        <v>Stop</v>
      </c>
      <c r="D1017" s="28" t="s">
        <v>11</v>
      </c>
      <c r="E1017" s="29">
        <v>1</v>
      </c>
      <c r="F1017" s="17"/>
    </row>
    <row r="1018" spans="1:9" ht="25.5" customHeight="1" x14ac:dyDescent="0.2">
      <c r="A1018" s="27">
        <v>1016</v>
      </c>
      <c r="B1018" s="29">
        <v>7073270</v>
      </c>
      <c r="C1018" s="29" t="str">
        <f ca="1">IFERROR(__xludf.DUMMYFUNCTION("GOOGLETRANSLATE(C5584,""en"",""hr"")"),"Supporto")</f>
        <v>Supporto</v>
      </c>
      <c r="D1018" s="28" t="s">
        <v>11</v>
      </c>
      <c r="E1018" s="29">
        <v>1</v>
      </c>
      <c r="F1018" s="17"/>
      <c r="I1018" s="4" t="b">
        <f>INT(F1016*100)=(F1016*100)</f>
        <v>1</v>
      </c>
    </row>
    <row r="1019" spans="1:9" ht="25.5" customHeight="1" x14ac:dyDescent="0.2">
      <c r="A1019" s="27">
        <v>1017</v>
      </c>
      <c r="B1019" s="29">
        <v>7073309</v>
      </c>
      <c r="C1019" s="29" t="str">
        <f ca="1">IFERROR(__xludf.DUMMYFUNCTION("GOOGLETRANSLATE(C1995,""en"",""hr"")"),"Povratno crijevo")</f>
        <v>Povratno crijevo</v>
      </c>
      <c r="D1019" s="28" t="s">
        <v>11</v>
      </c>
      <c r="E1019" s="29">
        <v>1</v>
      </c>
      <c r="F1019" s="17"/>
    </row>
    <row r="1020" spans="1:9" ht="25.5" customHeight="1" x14ac:dyDescent="0.2">
      <c r="A1020" s="27">
        <v>1018</v>
      </c>
      <c r="B1020" s="29">
        <v>7073310</v>
      </c>
      <c r="C1020" s="29" t="str">
        <f ca="1">IFERROR(__xludf.DUMMYFUNCTION("GOOGLETRANSLATE(C1991,""en"",""hr"")"),"Crijevo")</f>
        <v>Crijevo</v>
      </c>
      <c r="D1020" s="28" t="s">
        <v>11</v>
      </c>
      <c r="E1020" s="29">
        <v>1</v>
      </c>
      <c r="F1020" s="17"/>
    </row>
    <row r="1021" spans="1:9" ht="25.5" customHeight="1" x14ac:dyDescent="0.2">
      <c r="A1021" s="27">
        <v>1019</v>
      </c>
      <c r="B1021" s="29">
        <v>7073311</v>
      </c>
      <c r="C1021" s="29" t="str">
        <f ca="1">IFERROR(__xludf.DUMMYFUNCTION("GOOGLETRANSLATE(C1990,""en"",""hr"")"),"Crijevo")</f>
        <v>Crijevo</v>
      </c>
      <c r="D1021" s="28" t="s">
        <v>11</v>
      </c>
      <c r="E1021" s="29">
        <v>1</v>
      </c>
      <c r="F1021" s="17"/>
    </row>
    <row r="1022" spans="1:9" ht="25.5" customHeight="1" x14ac:dyDescent="0.2">
      <c r="A1022" s="27">
        <v>1020</v>
      </c>
      <c r="B1022" s="29">
        <v>7073312</v>
      </c>
      <c r="C1022" s="29" t="str">
        <f ca="1">IFERROR(__xludf.DUMMYFUNCTION("GOOGLETRANSLATE(C1992,""en"",""hr"")"),"Crijevo")</f>
        <v>Crijevo</v>
      </c>
      <c r="D1022" s="28" t="s">
        <v>11</v>
      </c>
      <c r="E1022" s="29">
        <v>1</v>
      </c>
      <c r="F1022" s="17"/>
    </row>
    <row r="1023" spans="1:9" ht="25.5" customHeight="1" x14ac:dyDescent="0.2">
      <c r="A1023" s="27">
        <v>1021</v>
      </c>
      <c r="B1023" s="29">
        <v>7073313</v>
      </c>
      <c r="C1023" s="29" t="str">
        <f ca="1">IFERROR(__xludf.DUMMYFUNCTION("GOOGLETRANSLATE(C1994,""en"",""hr"")"),"Crijevo")</f>
        <v>Crijevo</v>
      </c>
      <c r="D1023" s="28" t="s">
        <v>11</v>
      </c>
      <c r="E1023" s="29">
        <v>1</v>
      </c>
      <c r="F1023" s="17"/>
    </row>
    <row r="1024" spans="1:9" ht="25.5" customHeight="1" x14ac:dyDescent="0.2">
      <c r="A1024" s="27">
        <v>1022</v>
      </c>
      <c r="B1024" s="29">
        <v>7073314</v>
      </c>
      <c r="C1024" s="29" t="str">
        <f ca="1">IFERROR(__xludf.DUMMYFUNCTION("GOOGLETRANSLATE(C1993,""en"",""hr"")"),"Crijevo")</f>
        <v>Crijevo</v>
      </c>
      <c r="D1024" s="28" t="s">
        <v>11</v>
      </c>
      <c r="E1024" s="29">
        <v>1</v>
      </c>
      <c r="F1024" s="17"/>
    </row>
    <row r="1025" spans="1:9" ht="25.5" customHeight="1" x14ac:dyDescent="0.2">
      <c r="A1025" s="27">
        <v>1023</v>
      </c>
      <c r="B1025" s="29">
        <v>7073319</v>
      </c>
      <c r="C1025" s="29" t="str">
        <f ca="1">IFERROR(__xludf.DUMMYFUNCTION("GOOGLETRANSLATE(C5378,""en"",""hr"")"),"Podesite prsten")</f>
        <v>Podesite prsten</v>
      </c>
      <c r="D1025" s="28" t="s">
        <v>11</v>
      </c>
      <c r="E1025" s="29">
        <v>1</v>
      </c>
      <c r="F1025" s="17"/>
    </row>
    <row r="1026" spans="1:9" ht="25.5" customHeight="1" x14ac:dyDescent="0.2">
      <c r="A1026" s="27">
        <v>1024</v>
      </c>
      <c r="B1026" s="29">
        <v>7073331</v>
      </c>
      <c r="C1026" s="29" t="str">
        <f ca="1">IFERROR(__xludf.DUMMYFUNCTION("GOOGLETRANSLATE(C6633,""en"",""hr"")"),"mjerač")</f>
        <v>mjerač</v>
      </c>
      <c r="D1026" s="28" t="s">
        <v>11</v>
      </c>
      <c r="E1026" s="29">
        <v>1</v>
      </c>
      <c r="F1026" s="17"/>
    </row>
    <row r="1027" spans="1:9" ht="25.5" customHeight="1" x14ac:dyDescent="0.2">
      <c r="A1027" s="27">
        <v>1025</v>
      </c>
      <c r="B1027" s="29">
        <v>7073397</v>
      </c>
      <c r="C1027" s="29" t="str">
        <f ca="1">IFERROR(__xludf.DUMMYFUNCTION("GOOGLETRANSLATE(C4318,""en"",""hr"")"),"Hopper kap. 1.4003")</f>
        <v>Hopper kap. 1.4003</v>
      </c>
      <c r="D1027" s="28" t="s">
        <v>11</v>
      </c>
      <c r="E1027" s="29">
        <v>1</v>
      </c>
      <c r="F1027" s="17"/>
    </row>
    <row r="1028" spans="1:9" ht="25.5" customHeight="1" x14ac:dyDescent="0.2">
      <c r="A1028" s="27">
        <v>1026</v>
      </c>
      <c r="B1028" s="29">
        <v>7073400</v>
      </c>
      <c r="C1028" s="29" t="str">
        <f ca="1">IFERROR(__xludf.DUMMYFUNCTION("GOOGLETRANSLATE(C2055,""en"",""hr"")"),"Hidraulično crijevo")</f>
        <v>Hidraulično crijevo</v>
      </c>
      <c r="D1028" s="28" t="s">
        <v>11</v>
      </c>
      <c r="E1028" s="29">
        <v>1</v>
      </c>
      <c r="F1028" s="17"/>
    </row>
    <row r="1029" spans="1:9" ht="25.5" customHeight="1" x14ac:dyDescent="0.2">
      <c r="A1029" s="27">
        <v>1027</v>
      </c>
      <c r="B1029" s="29">
        <v>7073401</v>
      </c>
      <c r="C1029" s="29" t="str">
        <f ca="1">IFERROR(__xludf.DUMMYFUNCTION("GOOGLETRANSLATE(C2058,""en"",""hr"")"),"Hidraulično crijevo")</f>
        <v>Hidraulično crijevo</v>
      </c>
      <c r="D1029" s="28" t="s">
        <v>11</v>
      </c>
      <c r="E1029" s="29">
        <v>1</v>
      </c>
      <c r="F1029" s="17"/>
    </row>
    <row r="1030" spans="1:9" ht="25.5" customHeight="1" x14ac:dyDescent="0.2">
      <c r="A1030" s="27">
        <v>1028</v>
      </c>
      <c r="B1030" s="29">
        <v>7073403</v>
      </c>
      <c r="C1030" s="29" t="str">
        <f ca="1">IFERROR(__xludf.DUMMYFUNCTION("GOOGLETRANSLATE(C2057,""en"",""hr"")"),"Hidraulično crijevo")</f>
        <v>Hidraulično crijevo</v>
      </c>
      <c r="D1030" s="28" t="s">
        <v>11</v>
      </c>
      <c r="E1030" s="29">
        <v>1</v>
      </c>
      <c r="F1030" s="17"/>
    </row>
    <row r="1031" spans="1:9" ht="25.5" customHeight="1" x14ac:dyDescent="0.2">
      <c r="A1031" s="27">
        <v>1029</v>
      </c>
      <c r="B1031" s="29">
        <v>7073404</v>
      </c>
      <c r="C1031" s="29" t="str">
        <f ca="1">IFERROR(__xludf.DUMMYFUNCTION("GOOGLETRANSLATE(C2056,""en"",""hr"")"),"Hidraulično crijevo")</f>
        <v>Hidraulično crijevo</v>
      </c>
      <c r="D1031" s="28" t="s">
        <v>11</v>
      </c>
      <c r="E1031" s="29">
        <v>1</v>
      </c>
      <c r="F1031" s="17"/>
    </row>
    <row r="1032" spans="1:9" ht="25.5" customHeight="1" x14ac:dyDescent="0.2">
      <c r="A1032" s="27">
        <v>1030</v>
      </c>
      <c r="B1032" s="29">
        <v>7073448</v>
      </c>
      <c r="C1032" s="29" t="str">
        <f ca="1">IFERROR(__xludf.DUMMYFUNCTION("GOOGLETRANSLATE(C739,""en"",""hr"")"),"Držač prednjeg zupčanika Cpl.")</f>
        <v>Držač prednjeg zupčanika Cpl.</v>
      </c>
      <c r="D1032" s="28" t="s">
        <v>11</v>
      </c>
      <c r="E1032" s="29">
        <v>1</v>
      </c>
      <c r="F1032" s="17"/>
    </row>
    <row r="1033" spans="1:9" ht="25.5" customHeight="1" x14ac:dyDescent="0.2">
      <c r="A1033" s="27">
        <v>1031</v>
      </c>
      <c r="B1033" s="29">
        <v>7073455</v>
      </c>
      <c r="C1033" s="29" t="str">
        <f ca="1">IFERROR(__xludf.DUMMYFUNCTION("GOOGLETRANSLATE(C740,""en"",""hr"")"),"EV Držač motora Prednji kap.")</f>
        <v>EV Držač motora Prednji kap.</v>
      </c>
      <c r="D1033" s="28" t="s">
        <v>11</v>
      </c>
      <c r="E1033" s="29">
        <v>1</v>
      </c>
      <c r="F1033" s="17"/>
    </row>
    <row r="1034" spans="1:9" ht="25.5" customHeight="1" x14ac:dyDescent="0.2">
      <c r="A1034" s="27">
        <v>1032</v>
      </c>
      <c r="B1034" s="29">
        <v>7073515</v>
      </c>
      <c r="C1034" s="29" t="str">
        <f ca="1">IFERROR(__xludf.DUMMYFUNCTION("GOOGLETRANSLATE(C1361,""en"",""hr"")"),"Filter čestica SCR")</f>
        <v>Filter čestica SCR</v>
      </c>
      <c r="D1034" s="28" t="s">
        <v>11</v>
      </c>
      <c r="E1034" s="29">
        <v>1</v>
      </c>
      <c r="F1034" s="17"/>
    </row>
    <row r="1035" spans="1:9" ht="25.5" customHeight="1" x14ac:dyDescent="0.2">
      <c r="A1035" s="27">
        <v>1033</v>
      </c>
      <c r="B1035" s="29">
        <v>7073516</v>
      </c>
      <c r="C1035" s="29" t="str">
        <f ca="1">IFERROR(__xludf.DUMMYFUNCTION("GOOGLETRANSLATE(C1997,""en"",""hr"")"),"Crijevo")</f>
        <v>Crijevo</v>
      </c>
      <c r="D1035" s="28" t="s">
        <v>11</v>
      </c>
      <c r="E1035" s="29">
        <v>1</v>
      </c>
      <c r="F1035" s="17"/>
    </row>
    <row r="1036" spans="1:9" ht="25.5" customHeight="1" x14ac:dyDescent="0.2">
      <c r="A1036" s="27">
        <v>1034</v>
      </c>
      <c r="B1036" s="29">
        <v>7073519</v>
      </c>
      <c r="C1036" s="29" t="str">
        <f ca="1">IFERROR(__xludf.DUMMYFUNCTION("GOOGLETRANSLATE(C1996,""en"",""hr"")"),"Crijevo")</f>
        <v>Crijevo</v>
      </c>
      <c r="D1036" s="28" t="s">
        <v>11</v>
      </c>
      <c r="E1036" s="29">
        <v>1</v>
      </c>
      <c r="F1036" s="17"/>
      <c r="I1036" s="4" t="b">
        <f>INT(F1034*100)=(F1034*100)</f>
        <v>1</v>
      </c>
    </row>
    <row r="1037" spans="1:9" ht="25.5" customHeight="1" x14ac:dyDescent="0.2">
      <c r="A1037" s="27">
        <v>1035</v>
      </c>
      <c r="B1037" s="29">
        <v>7073521</v>
      </c>
      <c r="C1037" s="29" t="str">
        <f ca="1">IFERROR(__xludf.DUMMYFUNCTION("GOOGLETRANSLATE(C2022,""en"",""hr"")"),"Crijevo")</f>
        <v>Crijevo</v>
      </c>
      <c r="D1037" s="28" t="s">
        <v>11</v>
      </c>
      <c r="E1037" s="29">
        <v>1</v>
      </c>
      <c r="F1037" s="17"/>
    </row>
    <row r="1038" spans="1:9" ht="25.5" customHeight="1" x14ac:dyDescent="0.2">
      <c r="A1038" s="27">
        <v>1036</v>
      </c>
      <c r="B1038" s="29">
        <v>7073523</v>
      </c>
      <c r="C1038" s="29" t="str">
        <f ca="1">IFERROR(__xludf.DUMMYFUNCTION("GOOGLETRANSLATE(C2021,""en"",""hr"")"),"Crijevo")</f>
        <v>Crijevo</v>
      </c>
      <c r="D1038" s="28" t="s">
        <v>11</v>
      </c>
      <c r="E1038" s="29">
        <v>1</v>
      </c>
      <c r="F1038" s="17"/>
    </row>
    <row r="1039" spans="1:9" ht="25.5" customHeight="1" x14ac:dyDescent="0.2">
      <c r="A1039" s="27">
        <v>1037</v>
      </c>
      <c r="B1039" s="29">
        <v>7073527</v>
      </c>
      <c r="C1039" s="29" t="str">
        <f ca="1">IFERROR(__xludf.DUMMYFUNCTION("GOOGLETRANSLATE(C2020,""en"",""hr"")"),"Crijevo")</f>
        <v>Crijevo</v>
      </c>
      <c r="D1039" s="28" t="s">
        <v>11</v>
      </c>
      <c r="E1039" s="29">
        <v>1</v>
      </c>
      <c r="F1039" s="17"/>
      <c r="I1039" s="4" t="b">
        <f>INT(F1037*100)=(F1037*100)</f>
        <v>1</v>
      </c>
    </row>
    <row r="1040" spans="1:9" ht="25.5" customHeight="1" x14ac:dyDescent="0.2">
      <c r="A1040" s="27">
        <v>1038</v>
      </c>
      <c r="B1040" s="29">
        <v>7073529</v>
      </c>
      <c r="C1040" s="29" t="str">
        <f ca="1">IFERROR(__xludf.DUMMYFUNCTION("GOOGLETRANSLATE(C2023,""en"",""hr"")"),"Crijevo")</f>
        <v>Crijevo</v>
      </c>
      <c r="D1040" s="28" t="s">
        <v>11</v>
      </c>
      <c r="E1040" s="29">
        <v>1</v>
      </c>
      <c r="F1040" s="17"/>
    </row>
    <row r="1041" spans="1:9" ht="25.5" customHeight="1" x14ac:dyDescent="0.2">
      <c r="A1041" s="27">
        <v>1039</v>
      </c>
      <c r="B1041" s="29">
        <v>7073538</v>
      </c>
      <c r="C1041" s="29" t="str">
        <f ca="1">IFERROR(__xludf.DUMMYFUNCTION("GOOGLETRANSLATE(C4568,""en"",""hr"")"),"Cijev")</f>
        <v>Cijev</v>
      </c>
      <c r="D1041" s="28" t="s">
        <v>11</v>
      </c>
      <c r="E1041" s="29">
        <v>1</v>
      </c>
      <c r="F1041" s="17"/>
    </row>
    <row r="1042" spans="1:9" ht="25.5" customHeight="1" x14ac:dyDescent="0.2">
      <c r="A1042" s="27">
        <v>1040</v>
      </c>
      <c r="B1042" s="29">
        <v>7073539</v>
      </c>
      <c r="C1042" s="29" t="str">
        <f ca="1">IFERROR(__xludf.DUMMYFUNCTION("GOOGLETRANSLATE(C4569,""en"",""hr"")"),"Cijev")</f>
        <v>Cijev</v>
      </c>
      <c r="D1042" s="28" t="s">
        <v>11</v>
      </c>
      <c r="E1042" s="29">
        <v>1</v>
      </c>
      <c r="F1042" s="17"/>
    </row>
    <row r="1043" spans="1:9" ht="25.5" customHeight="1" x14ac:dyDescent="0.2">
      <c r="A1043" s="27">
        <v>1041</v>
      </c>
      <c r="B1043" s="29">
        <v>7073557</v>
      </c>
      <c r="C1043" s="29" t="str">
        <f ca="1">IFERROR(__xludf.DUMMYFUNCTION("GOOGLETRANSLATE(C6864,""en"",""hr"")"),"gas")</f>
        <v>gas</v>
      </c>
      <c r="D1043" s="28" t="s">
        <v>11</v>
      </c>
      <c r="E1043" s="29">
        <v>1</v>
      </c>
      <c r="F1043" s="17"/>
      <c r="I1043" s="4" t="b">
        <f>INT(F1041*100)=(F1041*100)</f>
        <v>1</v>
      </c>
    </row>
    <row r="1044" spans="1:9" ht="25.5" customHeight="1" x14ac:dyDescent="0.2">
      <c r="A1044" s="27">
        <v>1042</v>
      </c>
      <c r="B1044" s="29">
        <v>7073565</v>
      </c>
      <c r="C1044" s="29" t="str">
        <f ca="1">IFERROR(__xludf.DUMMYFUNCTION("GOOGLETRANSLATE(C3309,""en"",""hr"")"),"Usisni blok")</f>
        <v>Usisni blok</v>
      </c>
      <c r="D1044" s="28" t="s">
        <v>11</v>
      </c>
      <c r="E1044" s="29">
        <v>1</v>
      </c>
      <c r="F1044" s="17"/>
    </row>
    <row r="1045" spans="1:9" ht="25.5" customHeight="1" x14ac:dyDescent="0.2">
      <c r="A1045" s="27">
        <v>1043</v>
      </c>
      <c r="B1045" s="29">
        <v>7073576</v>
      </c>
      <c r="C1045" s="29" t="str">
        <f ca="1">IFERROR(__xludf.DUMMYFUNCTION("GOOGLETRANSLATE(C3097,""en"",""hr"")"),"Korekcija lima")</f>
        <v>Korekcija lima</v>
      </c>
      <c r="D1045" s="28" t="s">
        <v>11</v>
      </c>
      <c r="E1045" s="29">
        <v>1</v>
      </c>
      <c r="F1045" s="17"/>
    </row>
    <row r="1046" spans="1:9" ht="25.5" customHeight="1" x14ac:dyDescent="0.2">
      <c r="A1046" s="27">
        <v>1044</v>
      </c>
      <c r="B1046" s="29">
        <v>7073577</v>
      </c>
      <c r="C1046" s="29" t="str">
        <f ca="1">IFERROR(__xludf.DUMMYFUNCTION("GOOGLETRANSLATE(C1470,""en"",""hr"")"),"Montažna ploča Čep hladnjaka")</f>
        <v>Montažna ploča Čep hladnjaka</v>
      </c>
      <c r="D1046" s="28" t="s">
        <v>11</v>
      </c>
      <c r="E1046" s="29">
        <v>1</v>
      </c>
      <c r="F1046" s="17"/>
    </row>
    <row r="1047" spans="1:9" ht="25.5" customHeight="1" x14ac:dyDescent="0.2">
      <c r="A1047" s="27">
        <v>1045</v>
      </c>
      <c r="B1047" s="29">
        <v>7073645</v>
      </c>
      <c r="C1047" s="29" t="str">
        <f ca="1">IFERROR(__xludf.DUMMYFUNCTION("GOOGLETRANSLATE(C6578,""en"",""hr"")"),"Priključak za mjerenje")</f>
        <v>Priključak za mjerenje</v>
      </c>
      <c r="D1047" s="28" t="s">
        <v>11</v>
      </c>
      <c r="E1047" s="29">
        <v>1</v>
      </c>
      <c r="F1047" s="17"/>
    </row>
    <row r="1048" spans="1:9" ht="25.5" customHeight="1" x14ac:dyDescent="0.2">
      <c r="A1048" s="27">
        <v>1046</v>
      </c>
      <c r="B1048" s="29">
        <v>7073650</v>
      </c>
      <c r="C1048" s="29" t="str">
        <f ca="1">IFERROR(__xludf.DUMMYFUNCTION("GOOGLETRANSLATE(C361,""en"",""hr"")"),"Straža")</f>
        <v>Straža</v>
      </c>
      <c r="D1048" s="28" t="s">
        <v>11</v>
      </c>
      <c r="E1048" s="29">
        <v>1</v>
      </c>
      <c r="F1048" s="17"/>
    </row>
    <row r="1049" spans="1:9" ht="25.5" customHeight="1" x14ac:dyDescent="0.2">
      <c r="A1049" s="27">
        <v>1047</v>
      </c>
      <c r="B1049" s="29">
        <v>7073669</v>
      </c>
      <c r="C1049" s="29" t="str">
        <f ca="1">IFERROR(__xludf.DUMMYFUNCTION("GOOGLETRANSLATE(C3855,""en"",""hr"")"),"Držač")</f>
        <v>Držač</v>
      </c>
      <c r="D1049" s="28" t="s">
        <v>11</v>
      </c>
      <c r="E1049" s="29">
        <v>1</v>
      </c>
      <c r="F1049" s="17"/>
    </row>
    <row r="1050" spans="1:9" ht="25.5" customHeight="1" x14ac:dyDescent="0.2">
      <c r="A1050" s="27">
        <v>1048</v>
      </c>
      <c r="B1050" s="29">
        <v>7073679</v>
      </c>
      <c r="C1050" s="29" t="str">
        <f ca="1">IFERROR(__xludf.DUMMYFUNCTION("GOOGLETRANSLATE(C5163,""en"",""hr"")"),"Oplata")</f>
        <v>Oplata</v>
      </c>
      <c r="D1050" s="28" t="s">
        <v>11</v>
      </c>
      <c r="E1050" s="29">
        <v>1</v>
      </c>
      <c r="F1050" s="17"/>
    </row>
    <row r="1051" spans="1:9" ht="25.5" customHeight="1" x14ac:dyDescent="0.2">
      <c r="A1051" s="27">
        <v>1049</v>
      </c>
      <c r="B1051" s="29">
        <v>7073727</v>
      </c>
      <c r="C1051" s="29" t="str">
        <f ca="1">IFERROR(__xludf.DUMMYFUNCTION("GOOGLETRANSLATE(C4911,""en"",""hr"")"),"Držač")</f>
        <v>Držač</v>
      </c>
      <c r="D1051" s="28" t="s">
        <v>11</v>
      </c>
      <c r="E1051" s="29">
        <v>1</v>
      </c>
      <c r="F1051" s="17"/>
    </row>
    <row r="1052" spans="1:9" ht="25.5" customHeight="1" x14ac:dyDescent="0.2">
      <c r="A1052" s="27">
        <v>1050</v>
      </c>
      <c r="B1052" s="29">
        <v>7073735</v>
      </c>
      <c r="C1052" s="29" t="str">
        <f ca="1">IFERROR(__xludf.DUMMYFUNCTION("GOOGLETRANSLATE(C4909,""en"",""hr"")"),"Metalni lim")</f>
        <v>Metalni lim</v>
      </c>
      <c r="D1052" s="28" t="s">
        <v>11</v>
      </c>
      <c r="E1052" s="29">
        <v>1</v>
      </c>
      <c r="F1052" s="17"/>
    </row>
    <row r="1053" spans="1:9" ht="25.5" customHeight="1" x14ac:dyDescent="0.2">
      <c r="A1053" s="27">
        <v>1051</v>
      </c>
      <c r="B1053" s="29">
        <v>7073738</v>
      </c>
      <c r="C1053" s="29" t="str">
        <f ca="1">IFERROR(__xludf.DUMMYFUNCTION("GOOGLETRANSLATE(C4906,""en"",""hr"")"),"Zaštita")</f>
        <v>Zaštita</v>
      </c>
      <c r="D1053" s="28" t="s">
        <v>11</v>
      </c>
      <c r="E1053" s="29">
        <v>1</v>
      </c>
      <c r="F1053" s="17"/>
    </row>
    <row r="1054" spans="1:9" ht="25.5" customHeight="1" x14ac:dyDescent="0.2">
      <c r="A1054" s="27">
        <v>1052</v>
      </c>
      <c r="B1054" s="29">
        <v>7073745</v>
      </c>
      <c r="C1054" s="29" t="str">
        <f ca="1">IFERROR(__xludf.DUMMYFUNCTION("GOOGLETRANSLATE(C4910,""en"",""hr"")"),"Metalni lim")</f>
        <v>Metalni lim</v>
      </c>
      <c r="D1054" s="28" t="s">
        <v>11</v>
      </c>
      <c r="E1054" s="29">
        <v>1</v>
      </c>
      <c r="F1054" s="17"/>
    </row>
    <row r="1055" spans="1:9" ht="25.5" customHeight="1" x14ac:dyDescent="0.2">
      <c r="A1055" s="27">
        <v>1053</v>
      </c>
      <c r="B1055" s="29">
        <v>7073752</v>
      </c>
      <c r="C1055" s="29" t="str">
        <f ca="1">IFERROR(__xludf.DUMMYFUNCTION("GOOGLETRANSLATE(C769,""en"",""hr"")"),"Pogon osovine")</f>
        <v>Pogon osovine</v>
      </c>
      <c r="D1055" s="28" t="s">
        <v>11</v>
      </c>
      <c r="E1055" s="29">
        <v>1</v>
      </c>
      <c r="F1055" s="17"/>
    </row>
    <row r="1056" spans="1:9" ht="25.5" customHeight="1" x14ac:dyDescent="0.2">
      <c r="A1056" s="27">
        <v>1054</v>
      </c>
      <c r="B1056" s="29">
        <v>7073781</v>
      </c>
      <c r="C1056" s="29" t="str">
        <f ca="1">IFERROR(__xludf.DUMMYFUNCTION("GOOGLETRANSLATE(C6629,""en"",""hr"")"),"Pol")</f>
        <v>Pol</v>
      </c>
      <c r="D1056" s="28" t="s">
        <v>11</v>
      </c>
      <c r="E1056" s="29">
        <v>1</v>
      </c>
      <c r="F1056" s="17"/>
    </row>
    <row r="1057" spans="1:9" ht="25.5" customHeight="1" x14ac:dyDescent="0.2">
      <c r="A1057" s="27">
        <v>1055</v>
      </c>
      <c r="B1057" s="29">
        <v>7073801</v>
      </c>
      <c r="C1057" s="29" t="str">
        <f ca="1">IFERROR(__xludf.DUMMYFUNCTION("GOOGLETRANSLATE(C1471,""en"",""hr"")"),"Traka za Cooleropening")</f>
        <v>Traka za Cooleropening</v>
      </c>
      <c r="D1057" s="28" t="s">
        <v>11</v>
      </c>
      <c r="E1057" s="29">
        <v>1</v>
      </c>
      <c r="F1057" s="17"/>
    </row>
    <row r="1058" spans="1:9" ht="25.5" customHeight="1" x14ac:dyDescent="0.2">
      <c r="A1058" s="27">
        <v>1056</v>
      </c>
      <c r="B1058" s="29">
        <v>7073815</v>
      </c>
      <c r="C1058" s="29" t="str">
        <f ca="1">IFERROR(__xludf.DUMMYFUNCTION("GOOGLETRANSLATE(C4336,""en"",""hr"")"),"Filter kalupa LH")</f>
        <v>Filter kalupa LH</v>
      </c>
      <c r="D1058" s="28" t="s">
        <v>11</v>
      </c>
      <c r="E1058" s="29">
        <v>1</v>
      </c>
      <c r="F1058" s="17"/>
    </row>
    <row r="1059" spans="1:9" ht="25.5" customHeight="1" x14ac:dyDescent="0.2">
      <c r="A1059" s="27">
        <v>1057</v>
      </c>
      <c r="B1059" s="29">
        <v>7073816</v>
      </c>
      <c r="C1059" s="29" t="str">
        <f ca="1">IFERROR(__xludf.DUMMYFUNCTION("GOOGLETRANSLATE(C4335,""en"",""hr"")"),"Filter kalupa RH")</f>
        <v>Filter kalupa RH</v>
      </c>
      <c r="D1059" s="28" t="s">
        <v>11</v>
      </c>
      <c r="E1059" s="29">
        <v>1</v>
      </c>
      <c r="F1059" s="17"/>
    </row>
    <row r="1060" spans="1:9" ht="25.5" customHeight="1" x14ac:dyDescent="0.2">
      <c r="A1060" s="27">
        <v>1058</v>
      </c>
      <c r="B1060" s="29">
        <v>7073817</v>
      </c>
      <c r="C1060" s="29" t="str">
        <f ca="1">IFERROR(__xludf.DUMMYFUNCTION("GOOGLETRANSLATE(C4337,""en"",""hr"")"),"Filter kalupa FH")</f>
        <v>Filter kalupa FH</v>
      </c>
      <c r="D1060" s="28" t="s">
        <v>11</v>
      </c>
      <c r="E1060" s="29">
        <v>1</v>
      </c>
      <c r="F1060" s="17"/>
    </row>
    <row r="1061" spans="1:9" ht="25.5" customHeight="1" x14ac:dyDescent="0.2">
      <c r="A1061" s="27">
        <v>1059</v>
      </c>
      <c r="B1061" s="29">
        <v>7073857</v>
      </c>
      <c r="C1061" s="29" t="str">
        <f ca="1">IFERROR(__xludf.DUMMYFUNCTION("GOOGLETRANSLATE(C2813,""en"",""hr"")"),"Kontrolni blok")</f>
        <v>Kontrolni blok</v>
      </c>
      <c r="D1061" s="28" t="s">
        <v>11</v>
      </c>
      <c r="E1061" s="29">
        <v>1</v>
      </c>
      <c r="F1061" s="17"/>
    </row>
    <row r="1062" spans="1:9" ht="25.5" customHeight="1" x14ac:dyDescent="0.2">
      <c r="A1062" s="27">
        <v>1060</v>
      </c>
      <c r="B1062" s="29">
        <v>7073859</v>
      </c>
      <c r="C1062" s="29" t="str">
        <f ca="1">IFERROR(__xludf.DUMMYFUNCTION("GOOGLETRANSLATE(C2590,""en"",""hr"")"),"Kontrolni blok")</f>
        <v>Kontrolni blok</v>
      </c>
      <c r="D1062" s="28" t="s">
        <v>11</v>
      </c>
      <c r="E1062" s="29">
        <v>1</v>
      </c>
      <c r="F1062" s="17"/>
      <c r="I1062" s="4" t="b">
        <f>INT(F1060*100)=(F1060*100)</f>
        <v>1</v>
      </c>
    </row>
    <row r="1063" spans="1:9" ht="25.5" customHeight="1" x14ac:dyDescent="0.2">
      <c r="A1063" s="27">
        <v>1061</v>
      </c>
      <c r="B1063" s="29">
        <v>7073934</v>
      </c>
      <c r="C1063" s="29" t="str">
        <f ca="1">IFERROR(__xludf.DUMMYFUNCTION("GOOGLETRANSLATE(C3595,""en"",""hr"")"),"Prirubnica")</f>
        <v>Prirubnica</v>
      </c>
      <c r="D1063" s="28" t="s">
        <v>11</v>
      </c>
      <c r="E1063" s="29">
        <v>1</v>
      </c>
      <c r="F1063" s="17"/>
    </row>
    <row r="1064" spans="1:9" ht="25.5" customHeight="1" x14ac:dyDescent="0.2">
      <c r="A1064" s="27">
        <v>1062</v>
      </c>
      <c r="B1064" s="29">
        <v>7073935</v>
      </c>
      <c r="C1064" s="29" t="str">
        <f ca="1">IFERROR(__xludf.DUMMYFUNCTION("GOOGLETRANSLATE(C3590,""en"",""hr"")"),"Kućište pužnog mjenjača")</f>
        <v>Kućište pužnog mjenjača</v>
      </c>
      <c r="D1064" s="28" t="s">
        <v>11</v>
      </c>
      <c r="E1064" s="29">
        <v>1</v>
      </c>
      <c r="F1064" s="17"/>
    </row>
    <row r="1065" spans="1:9" ht="25.5" customHeight="1" x14ac:dyDescent="0.2">
      <c r="A1065" s="27">
        <v>1063</v>
      </c>
      <c r="B1065" s="29">
        <v>7073936</v>
      </c>
      <c r="C1065" s="29" t="str">
        <f ca="1">IFERROR(__xludf.DUMMYFUNCTION("GOOGLETRANSLATE(C3596,""en"",""hr"")"),"Dio vodiča")</f>
        <v>Dio vodiča</v>
      </c>
      <c r="D1065" s="28" t="s">
        <v>11</v>
      </c>
      <c r="E1065" s="29">
        <v>1</v>
      </c>
      <c r="F1065" s="17"/>
      <c r="I1065" s="4" t="b">
        <f>INT(F1063*100)=(F1063*100)</f>
        <v>1</v>
      </c>
    </row>
    <row r="1066" spans="1:9" ht="25.5" customHeight="1" x14ac:dyDescent="0.2">
      <c r="A1066" s="27">
        <v>1064</v>
      </c>
      <c r="B1066" s="29">
        <v>7073937</v>
      </c>
      <c r="C1066" s="29" t="str">
        <f ca="1">IFERROR(__xludf.DUMMYFUNCTION("GOOGLETRANSLATE(C3599,""en"",""hr"")"),"brtva")</f>
        <v>brtva</v>
      </c>
      <c r="D1066" s="28" t="s">
        <v>11</v>
      </c>
      <c r="E1066" s="29">
        <v>1</v>
      </c>
      <c r="F1066" s="17"/>
    </row>
    <row r="1067" spans="1:9" ht="25.5" customHeight="1" x14ac:dyDescent="0.2">
      <c r="A1067" s="27">
        <v>1065</v>
      </c>
      <c r="B1067" s="29">
        <v>7073938</v>
      </c>
      <c r="C1067" s="29" t="str">
        <f ca="1">IFERROR(__xludf.DUMMYFUNCTION("GOOGLETRANSLATE(C3593,""en"",""hr"")"),"Spojka")</f>
        <v>Spojka</v>
      </c>
      <c r="D1067" s="28" t="s">
        <v>11</v>
      </c>
      <c r="E1067" s="29">
        <v>1</v>
      </c>
      <c r="F1067" s="17"/>
    </row>
    <row r="1068" spans="1:9" ht="25.5" customHeight="1" x14ac:dyDescent="0.2">
      <c r="A1068" s="27">
        <v>1066</v>
      </c>
      <c r="B1068" s="29">
        <v>7073941</v>
      </c>
      <c r="C1068" s="29" t="str">
        <f ca="1">IFERROR(__xludf.DUMMYFUNCTION("GOOGLETRANSLATE(C3592,""en"",""hr"")"),"Vodič")</f>
        <v>Vodič</v>
      </c>
      <c r="D1068" s="28" t="s">
        <v>11</v>
      </c>
      <c r="E1068" s="29">
        <v>1</v>
      </c>
      <c r="F1068" s="17"/>
    </row>
    <row r="1069" spans="1:9" ht="25.5" customHeight="1" x14ac:dyDescent="0.2">
      <c r="A1069" s="27">
        <v>1067</v>
      </c>
      <c r="B1069" s="29">
        <v>7073943</v>
      </c>
      <c r="C1069" s="29" t="str">
        <f ca="1">IFERROR(__xludf.DUMMYFUNCTION("GOOGLETRANSLATE(C3598,""en"",""hr"")"),"Ocijediti")</f>
        <v>Ocijediti</v>
      </c>
      <c r="D1069" s="28" t="s">
        <v>11</v>
      </c>
      <c r="E1069" s="29">
        <v>1</v>
      </c>
      <c r="F1069" s="17"/>
      <c r="I1069" s="4" t="b">
        <f>INT(F1067*100)=(F1067*100)</f>
        <v>1</v>
      </c>
    </row>
    <row r="1070" spans="1:9" ht="25.5" customHeight="1" x14ac:dyDescent="0.2">
      <c r="A1070" s="27">
        <v>1068</v>
      </c>
      <c r="B1070" s="29">
        <v>7073944</v>
      </c>
      <c r="C1070" s="29" t="str">
        <f ca="1">IFERROR(__xludf.DUMMYFUNCTION("GOOGLETRANSLATE(C3588,""en"",""hr"")"),"Odvodni ventil kpl.")</f>
        <v>Odvodni ventil kpl.</v>
      </c>
      <c r="D1070" s="28" t="s">
        <v>11</v>
      </c>
      <c r="E1070" s="29">
        <v>1</v>
      </c>
      <c r="F1070" s="17"/>
    </row>
    <row r="1071" spans="1:9" ht="25.5" customHeight="1" x14ac:dyDescent="0.2">
      <c r="A1071" s="27">
        <v>1069</v>
      </c>
      <c r="B1071" s="29">
        <v>7073946</v>
      </c>
      <c r="C1071" s="29" t="str">
        <f ca="1">IFERROR(__xludf.DUMMYFUNCTION("GOOGLETRANSLATE(C5356,""en"",""hr"")"),"Vratilo")</f>
        <v>Vratilo</v>
      </c>
      <c r="D1071" s="28" t="s">
        <v>11</v>
      </c>
      <c r="E1071" s="29">
        <v>1</v>
      </c>
      <c r="F1071" s="17"/>
    </row>
    <row r="1072" spans="1:9" ht="25.5" customHeight="1" x14ac:dyDescent="0.2">
      <c r="A1072" s="27">
        <v>1070</v>
      </c>
      <c r="B1072" s="29">
        <v>7073976</v>
      </c>
      <c r="C1072" s="29" t="str">
        <f ca="1">IFERROR(__xludf.DUMMYFUNCTION("GOOGLETRANSLATE(C3490,""en"",""hr"")"),"Rezervoar za vodu")</f>
        <v>Rezervoar za vodu</v>
      </c>
      <c r="D1072" s="28" t="s">
        <v>11</v>
      </c>
      <c r="E1072" s="29">
        <v>1</v>
      </c>
      <c r="F1072" s="17"/>
    </row>
    <row r="1073" spans="1:9" ht="25.5" customHeight="1" x14ac:dyDescent="0.2">
      <c r="A1073" s="27">
        <v>1071</v>
      </c>
      <c r="B1073" s="29">
        <v>7074014</v>
      </c>
      <c r="C1073" s="29" t="str">
        <f ca="1">IFERROR(__xludf.DUMMYFUNCTION("GOOGLETRANSLATE(C938,""en"",""hr"")"),"Razmaknica")</f>
        <v>Razmaknica</v>
      </c>
      <c r="D1073" s="28" t="s">
        <v>11</v>
      </c>
      <c r="E1073" s="29">
        <v>1</v>
      </c>
      <c r="F1073" s="17"/>
    </row>
    <row r="1074" spans="1:9" ht="25.5" customHeight="1" x14ac:dyDescent="0.2">
      <c r="A1074" s="27">
        <v>1072</v>
      </c>
      <c r="B1074" s="29">
        <v>7074039</v>
      </c>
      <c r="C1074" s="29" t="str">
        <f ca="1">IFERROR(__xludf.DUMMYFUNCTION("GOOGLETRANSLATE(C3117,""en"",""hr"")"),"Supporto")</f>
        <v>Supporto</v>
      </c>
      <c r="D1074" s="28" t="s">
        <v>11</v>
      </c>
      <c r="E1074" s="29">
        <v>1</v>
      </c>
      <c r="F1074" s="17"/>
    </row>
    <row r="1075" spans="1:9" ht="25.5" customHeight="1" x14ac:dyDescent="0.2">
      <c r="A1075" s="27">
        <v>1073</v>
      </c>
      <c r="B1075" s="29">
        <v>7074042</v>
      </c>
      <c r="C1075" s="29" t="str">
        <f ca="1">IFERROR(__xludf.DUMMYFUNCTION("GOOGLETRANSLATE(C3118,""en"",""hr"")"),"Supporto")</f>
        <v>Supporto</v>
      </c>
      <c r="D1075" s="28" t="s">
        <v>11</v>
      </c>
      <c r="E1075" s="29">
        <v>1</v>
      </c>
      <c r="F1075" s="17"/>
    </row>
    <row r="1076" spans="1:9" ht="25.5" customHeight="1" x14ac:dyDescent="0.2">
      <c r="A1076" s="27">
        <v>1074</v>
      </c>
      <c r="B1076" s="29">
        <v>7074064</v>
      </c>
      <c r="C1076" s="29" t="str">
        <f ca="1">IFERROR(__xludf.DUMMYFUNCTION("GOOGLETRANSLATE(C2847,""en"",""hr"")"),"Montažna ploča")</f>
        <v>Montažna ploča</v>
      </c>
      <c r="D1076" s="28" t="s">
        <v>11</v>
      </c>
      <c r="E1076" s="29">
        <v>1</v>
      </c>
      <c r="F1076" s="17"/>
    </row>
    <row r="1077" spans="1:9" ht="25.5" customHeight="1" x14ac:dyDescent="0.2">
      <c r="A1077" s="27">
        <v>1075</v>
      </c>
      <c r="B1077" s="29">
        <v>7074065</v>
      </c>
      <c r="C1077" s="29" t="str">
        <f ca="1">IFERROR(__xludf.DUMMYFUNCTION("GOOGLETRANSLATE(C2869,""en"",""hr"")"),"Zaustavna ploča")</f>
        <v>Zaustavna ploča</v>
      </c>
      <c r="D1077" s="28" t="s">
        <v>11</v>
      </c>
      <c r="E1077" s="29">
        <v>1</v>
      </c>
      <c r="F1077" s="17"/>
    </row>
    <row r="1078" spans="1:9" ht="25.5" customHeight="1" x14ac:dyDescent="0.2">
      <c r="A1078" s="27">
        <v>1076</v>
      </c>
      <c r="B1078" s="29">
        <v>7074067</v>
      </c>
      <c r="C1078" s="29" t="str">
        <f ca="1">IFERROR(__xludf.DUMMYFUNCTION("GOOGLETRANSLATE(C2821,""en"",""hr"")"),"Štap")</f>
        <v>Štap</v>
      </c>
      <c r="D1078" s="28" t="s">
        <v>11</v>
      </c>
      <c r="E1078" s="29">
        <v>1</v>
      </c>
      <c r="F1078" s="17"/>
    </row>
    <row r="1079" spans="1:9" ht="25.5" customHeight="1" x14ac:dyDescent="0.2">
      <c r="A1079" s="27">
        <v>1077</v>
      </c>
      <c r="B1079" s="29">
        <v>7074069</v>
      </c>
      <c r="C1079" s="29" t="str">
        <f ca="1">IFERROR(__xludf.DUMMYFUNCTION("GOOGLETRANSLATE(C2868,""en"",""hr"")"),"Poluga za vožnju unazad")</f>
        <v>Poluga za vožnju unazad</v>
      </c>
      <c r="D1079" s="28" t="s">
        <v>11</v>
      </c>
      <c r="E1079" s="29">
        <v>1</v>
      </c>
      <c r="F1079" s="17"/>
    </row>
    <row r="1080" spans="1:9" ht="25.5" customHeight="1" x14ac:dyDescent="0.2">
      <c r="A1080" s="27">
        <v>1078</v>
      </c>
      <c r="B1080" s="29">
        <v>7074074</v>
      </c>
      <c r="C1080" s="29" t="str">
        <f ca="1">IFERROR(__xludf.DUMMYFUNCTION("GOOGLETRANSLATE(C2824,""en"",""hr"")"),"Zbrinjavanje držača grede")</f>
        <v>Zbrinjavanje držača grede</v>
      </c>
      <c r="D1080" s="28" t="s">
        <v>11</v>
      </c>
      <c r="E1080" s="29">
        <v>1</v>
      </c>
      <c r="F1080" s="17"/>
    </row>
    <row r="1081" spans="1:9" ht="25.5" customHeight="1" x14ac:dyDescent="0.2">
      <c r="A1081" s="27">
        <v>1079</v>
      </c>
      <c r="B1081" s="29">
        <v>7074077</v>
      </c>
      <c r="C1081" s="29" t="str">
        <f ca="1">IFERROR(__xludf.DUMMYFUNCTION("GOOGLETRANSLATE(C2909,""en"",""hr"")"),"Držač")</f>
        <v>Držač</v>
      </c>
      <c r="D1081" s="28" t="s">
        <v>11</v>
      </c>
      <c r="E1081" s="29">
        <v>1</v>
      </c>
      <c r="F1081" s="17"/>
    </row>
    <row r="1082" spans="1:9" ht="25.5" customHeight="1" x14ac:dyDescent="0.2">
      <c r="A1082" s="27">
        <v>1080</v>
      </c>
      <c r="B1082" s="29">
        <v>7074078</v>
      </c>
      <c r="C1082" s="29" t="str">
        <f ca="1">IFERROR(__xludf.DUMMYFUNCTION("GOOGLETRANSLATE(C2916,""en"",""hr"")"),"Prsten, odstojnik")</f>
        <v>Prsten, odstojnik</v>
      </c>
      <c r="D1082" s="28" t="s">
        <v>11</v>
      </c>
      <c r="E1082" s="29">
        <v>1</v>
      </c>
      <c r="F1082" s="17"/>
    </row>
    <row r="1083" spans="1:9" ht="25.5" customHeight="1" x14ac:dyDescent="0.2">
      <c r="A1083" s="27">
        <v>1081</v>
      </c>
      <c r="B1083" s="29">
        <v>7074082</v>
      </c>
      <c r="C1083" s="29" t="str">
        <f ca="1">IFERROR(__xludf.DUMMYFUNCTION("GOOGLETRANSLATE(C2844,""en"",""hr"")"),"brava")</f>
        <v>brava</v>
      </c>
      <c r="D1083" s="28" t="s">
        <v>11</v>
      </c>
      <c r="E1083" s="29">
        <v>1</v>
      </c>
      <c r="F1083" s="17"/>
    </row>
    <row r="1084" spans="1:9" ht="25.5" customHeight="1" x14ac:dyDescent="0.2">
      <c r="A1084" s="27">
        <v>1082</v>
      </c>
      <c r="B1084" s="29">
        <v>7074099</v>
      </c>
      <c r="C1084" s="29" t="str">
        <f ca="1">IFERROR(__xludf.DUMMYFUNCTION("GOOGLETRANSLATE(C3009,""en"",""hr"")"),"Držač")</f>
        <v>Držač</v>
      </c>
      <c r="D1084" s="28" t="s">
        <v>11</v>
      </c>
      <c r="E1084" s="29">
        <v>1</v>
      </c>
      <c r="F1084" s="17"/>
    </row>
    <row r="1085" spans="1:9" ht="25.5" customHeight="1" x14ac:dyDescent="0.2">
      <c r="A1085" s="27">
        <v>1083</v>
      </c>
      <c r="B1085" s="29">
        <v>7074105</v>
      </c>
      <c r="C1085" s="29" t="str">
        <f ca="1">IFERROR(__xludf.DUMMYFUNCTION("GOOGLETRANSLATE(C1975,""en"",""hr"")"),"Metla Ovjes lijevo")</f>
        <v>Metla Ovjes lijevo</v>
      </c>
      <c r="D1085" s="28" t="s">
        <v>11</v>
      </c>
      <c r="E1085" s="29">
        <v>1</v>
      </c>
      <c r="F1085" s="17"/>
    </row>
    <row r="1086" spans="1:9" ht="25.5" customHeight="1" x14ac:dyDescent="0.2">
      <c r="A1086" s="27">
        <v>1084</v>
      </c>
      <c r="B1086" s="29">
        <v>7074122</v>
      </c>
      <c r="C1086" s="29" t="str">
        <f ca="1">IFERROR(__xludf.DUMMYFUNCTION("GOOGLETRANSLATE(C1974,""en"",""hr"")"),"Metla Ovjes desno")</f>
        <v>Metla Ovjes desno</v>
      </c>
      <c r="D1086" s="28" t="s">
        <v>11</v>
      </c>
      <c r="E1086" s="29">
        <v>1</v>
      </c>
      <c r="F1086" s="17"/>
    </row>
    <row r="1087" spans="1:9" ht="25.5" customHeight="1" x14ac:dyDescent="0.2">
      <c r="A1087" s="27">
        <v>1085</v>
      </c>
      <c r="B1087" s="29">
        <v>7074166</v>
      </c>
      <c r="C1087" s="29" t="str">
        <f ca="1">IFERROR(__xludf.DUMMYFUNCTION("GOOGLETRANSLATE(C5355,""en"",""hr"")"),"Supporto")</f>
        <v>Supporto</v>
      </c>
      <c r="D1087" s="28" t="s">
        <v>11</v>
      </c>
      <c r="E1087" s="29">
        <v>1</v>
      </c>
      <c r="F1087" s="17"/>
      <c r="I1087" s="4" t="b">
        <f>INT(F1085*100)=(F1085*100)</f>
        <v>1</v>
      </c>
    </row>
    <row r="1088" spans="1:9" ht="25.5" customHeight="1" x14ac:dyDescent="0.2">
      <c r="A1088" s="27">
        <v>1086</v>
      </c>
      <c r="B1088" s="29">
        <v>7074183</v>
      </c>
      <c r="C1088" s="29" t="str">
        <f ca="1">IFERROR(__xludf.DUMMYFUNCTION("GOOGLETRANSLATE(C4268,""en"",""hr"")"),"Cijev za umetanje")</f>
        <v>Cijev za umetanje</v>
      </c>
      <c r="D1088" s="28" t="s">
        <v>11</v>
      </c>
      <c r="E1088" s="29">
        <v>1</v>
      </c>
      <c r="F1088" s="17"/>
    </row>
    <row r="1089" spans="1:9" ht="25.5" customHeight="1" x14ac:dyDescent="0.2">
      <c r="A1089" s="27">
        <v>1087</v>
      </c>
      <c r="B1089" s="29">
        <v>7074188</v>
      </c>
      <c r="C1089" s="29" t="str">
        <f ca="1">IFERROR(__xludf.DUMMYFUNCTION("GOOGLETRANSLATE(C4479,""en"",""hr"")"),"Odstojna cijev")</f>
        <v>Odstojna cijev</v>
      </c>
      <c r="D1089" s="28" t="s">
        <v>11</v>
      </c>
      <c r="E1089" s="29">
        <v>1</v>
      </c>
      <c r="F1089" s="17"/>
    </row>
    <row r="1090" spans="1:9" ht="25.5" customHeight="1" x14ac:dyDescent="0.2">
      <c r="A1090" s="27">
        <v>1088</v>
      </c>
      <c r="B1090" s="29">
        <v>7074202</v>
      </c>
      <c r="C1090" s="29" t="str">
        <f ca="1">IFERROR(__xludf.DUMMYFUNCTION("GOOGLETRANSLATE(C611,""en"",""hr"")"),"Glavni cilindar kočnice")</f>
        <v>Glavni cilindar kočnice</v>
      </c>
      <c r="D1090" s="28" t="s">
        <v>11</v>
      </c>
      <c r="E1090" s="29">
        <v>1</v>
      </c>
      <c r="F1090" s="17"/>
      <c r="I1090" s="4" t="b">
        <f>INT(F1088*100)=(F1088*100)</f>
        <v>1</v>
      </c>
    </row>
    <row r="1091" spans="1:9" ht="25.5" customHeight="1" x14ac:dyDescent="0.2">
      <c r="A1091" s="27">
        <v>1089</v>
      </c>
      <c r="B1091" s="29">
        <v>7074212</v>
      </c>
      <c r="C1091" s="29" t="str">
        <f ca="1">IFERROR(__xludf.DUMMYFUNCTION("GOOGLETRANSLATE(C5901,""en"",""hr"")"),"Kontrolni blok")</f>
        <v>Kontrolni blok</v>
      </c>
      <c r="D1091" s="28" t="s">
        <v>11</v>
      </c>
      <c r="E1091" s="29">
        <v>1</v>
      </c>
      <c r="F1091" s="17"/>
    </row>
    <row r="1092" spans="1:9" ht="25.5" customHeight="1" x14ac:dyDescent="0.2">
      <c r="A1092" s="27">
        <v>1090</v>
      </c>
      <c r="B1092" s="29">
        <v>7074217</v>
      </c>
      <c r="C1092" s="29" t="str">
        <f ca="1">IFERROR(__xludf.DUMMYFUNCTION("GOOGLETRANSLATE(C6836,""en"",""hr"")"),"Držač")</f>
        <v>Držač</v>
      </c>
      <c r="D1092" s="28" t="s">
        <v>11</v>
      </c>
      <c r="E1092" s="29">
        <v>1</v>
      </c>
      <c r="F1092" s="17"/>
    </row>
    <row r="1093" spans="1:9" ht="25.5" customHeight="1" x14ac:dyDescent="0.2">
      <c r="A1093" s="27">
        <v>1091</v>
      </c>
      <c r="B1093" s="29">
        <v>7074258</v>
      </c>
      <c r="C1093" s="29" t="str">
        <f ca="1">IFERROR(__xludf.DUMMYFUNCTION("GOOGLETRANSLATE(C5159,""en"",""hr"")"),"Oplata")</f>
        <v>Oplata</v>
      </c>
      <c r="D1093" s="28" t="s">
        <v>11</v>
      </c>
      <c r="E1093" s="29">
        <v>1</v>
      </c>
      <c r="F1093" s="17"/>
    </row>
    <row r="1094" spans="1:9" ht="25.5" customHeight="1" x14ac:dyDescent="0.2">
      <c r="A1094" s="27">
        <v>1092</v>
      </c>
      <c r="B1094" s="29">
        <v>7074264</v>
      </c>
      <c r="C1094" s="29" t="str">
        <f ca="1">IFERROR(__xludf.DUMMYFUNCTION("GOOGLETRANSLATE(C5957,""en"",""hr"")"),"Crijevo")</f>
        <v>Crijevo</v>
      </c>
      <c r="D1094" s="28" t="s">
        <v>11</v>
      </c>
      <c r="E1094" s="29">
        <v>1</v>
      </c>
      <c r="F1094" s="17"/>
      <c r="I1094" s="4" t="b">
        <f>INT(F1092*100)=(F1092*100)</f>
        <v>1</v>
      </c>
    </row>
    <row r="1095" spans="1:9" ht="25.5" customHeight="1" x14ac:dyDescent="0.2">
      <c r="A1095" s="27">
        <v>1093</v>
      </c>
      <c r="B1095" s="29">
        <v>7074276</v>
      </c>
      <c r="C1095" s="29" t="str">
        <f ca="1">IFERROR(__xludf.DUMMYFUNCTION("GOOGLETRANSLATE(C598,""en"",""hr"")"),"Adapter")</f>
        <v>Adapter</v>
      </c>
      <c r="D1095" s="28" t="s">
        <v>11</v>
      </c>
      <c r="E1095" s="29">
        <v>1</v>
      </c>
      <c r="F1095" s="17"/>
    </row>
    <row r="1096" spans="1:9" ht="25.5" customHeight="1" x14ac:dyDescent="0.2">
      <c r="A1096" s="27">
        <v>1094</v>
      </c>
      <c r="B1096" s="29">
        <v>7074299</v>
      </c>
      <c r="C1096" s="29" t="str">
        <f ca="1">IFERROR(__xludf.DUMMYFUNCTION("GOOGLETRANSLATE(C3532,""en"",""hr"")"),"Guma")</f>
        <v>Guma</v>
      </c>
      <c r="D1096" s="28" t="s">
        <v>11</v>
      </c>
      <c r="E1096" s="29">
        <v>1</v>
      </c>
      <c r="F1096" s="17"/>
    </row>
    <row r="1097" spans="1:9" ht="25.5" customHeight="1" x14ac:dyDescent="0.2">
      <c r="A1097" s="27">
        <v>1095</v>
      </c>
      <c r="B1097" s="29">
        <v>7074309</v>
      </c>
      <c r="C1097" s="29" t="str">
        <f ca="1">IFERROR(__xludf.DUMMYFUNCTION("GOOGLETRANSLATE(C613,""en"",""hr"")"),"Perilica")</f>
        <v>Perilica</v>
      </c>
      <c r="D1097" s="28" t="s">
        <v>11</v>
      </c>
      <c r="E1097" s="29">
        <v>1</v>
      </c>
      <c r="F1097" s="17"/>
    </row>
    <row r="1098" spans="1:9" ht="25.5" customHeight="1" x14ac:dyDescent="0.2">
      <c r="A1098" s="27">
        <v>1096</v>
      </c>
      <c r="B1098" s="29">
        <v>7074312</v>
      </c>
      <c r="C1098" s="29" t="str">
        <f ca="1">IFERROR(__xludf.DUMMYFUNCTION("GOOGLETRANSLATE(C614,""en"",""hr"")"),"Potporni prsten")</f>
        <v>Potporni prsten</v>
      </c>
      <c r="D1098" s="28" t="s">
        <v>11</v>
      </c>
      <c r="E1098" s="29">
        <v>1</v>
      </c>
      <c r="F1098" s="17"/>
    </row>
    <row r="1099" spans="1:9" ht="25.5" customHeight="1" x14ac:dyDescent="0.2">
      <c r="A1099" s="27">
        <v>1097</v>
      </c>
      <c r="B1099" s="29">
        <v>7074313</v>
      </c>
      <c r="C1099" s="29" t="str">
        <f ca="1">IFERROR(__xludf.DUMMYFUNCTION("GOOGLETRANSLATE(C612,""en"",""hr"")"),"Tlačna šipka")</f>
        <v>Tlačna šipka</v>
      </c>
      <c r="D1099" s="28" t="s">
        <v>11</v>
      </c>
      <c r="E1099" s="29">
        <v>1</v>
      </c>
      <c r="F1099" s="17"/>
    </row>
    <row r="1100" spans="1:9" ht="25.5" customHeight="1" x14ac:dyDescent="0.2">
      <c r="A1100" s="27">
        <v>1098</v>
      </c>
      <c r="B1100" s="29">
        <v>7074314</v>
      </c>
      <c r="C1100" s="29" t="str">
        <f ca="1">IFERROR(__xludf.DUMMYFUNCTION("GOOGLETRANSLATE(C5009,""en"",""hr"")"),"Vrh profila")</f>
        <v>Vrh profila</v>
      </c>
      <c r="D1100" s="28" t="s">
        <v>11</v>
      </c>
      <c r="E1100" s="29">
        <v>1</v>
      </c>
      <c r="F1100" s="17"/>
    </row>
    <row r="1101" spans="1:9" ht="25.5" customHeight="1" x14ac:dyDescent="0.2">
      <c r="A1101" s="27">
        <v>1099</v>
      </c>
      <c r="B1101" s="29">
        <v>7074316</v>
      </c>
      <c r="C1101" s="29" t="str">
        <f ca="1">IFERROR(__xludf.DUMMYFUNCTION("GOOGLETRANSLATE(C5016,""en"",""hr"")"),"Profil donji")</f>
        <v>Profil donji</v>
      </c>
      <c r="D1101" s="28" t="s">
        <v>11</v>
      </c>
      <c r="E1101" s="29">
        <v>1</v>
      </c>
      <c r="F1101" s="17"/>
    </row>
    <row r="1102" spans="1:9" ht="25.5" customHeight="1" x14ac:dyDescent="0.2">
      <c r="A1102" s="27">
        <v>1100</v>
      </c>
      <c r="B1102" s="29">
        <v>7074319</v>
      </c>
      <c r="C1102" s="29" t="str">
        <f ca="1">IFERROR(__xludf.DUMMYFUNCTION("GOOGLETRANSLATE(C5012,""en"",""hr"")"),"Profil")</f>
        <v>Profil</v>
      </c>
      <c r="D1102" s="28" t="s">
        <v>11</v>
      </c>
      <c r="E1102" s="29">
        <v>1</v>
      </c>
      <c r="F1102" s="17"/>
    </row>
    <row r="1103" spans="1:9" ht="25.5" customHeight="1" x14ac:dyDescent="0.2">
      <c r="A1103" s="27">
        <v>1101</v>
      </c>
      <c r="B1103" s="29">
        <v>7074321</v>
      </c>
      <c r="C1103" s="29" t="str">
        <f ca="1">IFERROR(__xludf.DUMMYFUNCTION("GOOGLETRANSLATE(C5010,""en"",""hr"")"),"Profil")</f>
        <v>Profil</v>
      </c>
      <c r="D1103" s="28" t="s">
        <v>11</v>
      </c>
      <c r="E1103" s="29">
        <v>1</v>
      </c>
      <c r="F1103" s="17"/>
    </row>
    <row r="1104" spans="1:9" ht="25.5" customHeight="1" x14ac:dyDescent="0.2">
      <c r="A1104" s="27">
        <v>1102</v>
      </c>
      <c r="B1104" s="29">
        <v>7074324</v>
      </c>
      <c r="C1104" s="29" t="str">
        <f ca="1">IFERROR(__xludf.DUMMYFUNCTION("GOOGLETRANSLATE(C5015,""en"",""hr"")"),"brava")</f>
        <v>brava</v>
      </c>
      <c r="D1104" s="28" t="s">
        <v>11</v>
      </c>
      <c r="E1104" s="29">
        <v>1</v>
      </c>
      <c r="F1104" s="17"/>
    </row>
    <row r="1105" spans="1:9" ht="25.5" customHeight="1" x14ac:dyDescent="0.2">
      <c r="A1105" s="27">
        <v>1103</v>
      </c>
      <c r="B1105" s="29">
        <v>7074328</v>
      </c>
      <c r="C1105" s="29" t="str">
        <f ca="1">IFERROR(__xludf.DUMMYFUNCTION("GOOGLETRANSLATE(C5018,""en"",""hr"")"),"Donji nosač")</f>
        <v>Donji nosač</v>
      </c>
      <c r="D1105" s="28" t="s">
        <v>11</v>
      </c>
      <c r="E1105" s="29">
        <v>1</v>
      </c>
      <c r="F1105" s="17"/>
    </row>
    <row r="1106" spans="1:9" ht="25.5" customHeight="1" x14ac:dyDescent="0.2">
      <c r="A1106" s="27">
        <v>1104</v>
      </c>
      <c r="B1106" s="29">
        <v>7074329</v>
      </c>
      <c r="C1106" s="29" t="str">
        <f ca="1">IFERROR(__xludf.DUMMYFUNCTION("GOOGLETRANSLATE(C5013,""en"",""hr"")"),"Profil")</f>
        <v>Profil</v>
      </c>
      <c r="D1106" s="28" t="s">
        <v>11</v>
      </c>
      <c r="E1106" s="29">
        <v>1</v>
      </c>
      <c r="F1106" s="17"/>
    </row>
    <row r="1107" spans="1:9" ht="25.5" customHeight="1" x14ac:dyDescent="0.2">
      <c r="A1107" s="27">
        <v>1105</v>
      </c>
      <c r="B1107" s="29">
        <v>7074332</v>
      </c>
      <c r="C1107" s="29" t="str">
        <f ca="1">IFERROR(__xludf.DUMMYFUNCTION("GOOGLETRANSLATE(C5053,""en"",""hr"")"),"Distantni grm")</f>
        <v>Distantni grm</v>
      </c>
      <c r="D1107" s="28" t="s">
        <v>11</v>
      </c>
      <c r="E1107" s="29">
        <v>1</v>
      </c>
      <c r="F1107" s="17"/>
    </row>
    <row r="1108" spans="1:9" ht="25.5" customHeight="1" x14ac:dyDescent="0.2">
      <c r="A1108" s="27">
        <v>1106</v>
      </c>
      <c r="B1108" s="29">
        <v>7074334</v>
      </c>
      <c r="C1108" s="29" t="str">
        <f ca="1">IFERROR(__xludf.DUMMYFUNCTION("GOOGLETRANSLATE(C5051,""en"",""hr"")"),"Poluga")</f>
        <v>Poluga</v>
      </c>
      <c r="D1108" s="28" t="s">
        <v>11</v>
      </c>
      <c r="E1108" s="29">
        <v>1</v>
      </c>
      <c r="F1108" s="17"/>
    </row>
    <row r="1109" spans="1:9" ht="25.5" customHeight="1" x14ac:dyDescent="0.2">
      <c r="A1109" s="27">
        <v>1107</v>
      </c>
      <c r="B1109" s="29">
        <v>7074338</v>
      </c>
      <c r="C1109" s="29" t="str">
        <f ca="1">IFERROR(__xludf.DUMMYFUNCTION("GOOGLETRANSLATE(C5067,""en"",""hr"")"),"Kontrolni kabel")</f>
        <v>Kontrolni kabel</v>
      </c>
      <c r="D1109" s="28" t="s">
        <v>11</v>
      </c>
      <c r="E1109" s="29">
        <v>1</v>
      </c>
      <c r="F1109" s="17"/>
    </row>
    <row r="1110" spans="1:9" ht="25.5" customHeight="1" x14ac:dyDescent="0.2">
      <c r="A1110" s="27">
        <v>1108</v>
      </c>
      <c r="B1110" s="29">
        <v>7074346</v>
      </c>
      <c r="C1110" s="29" t="str">
        <f ca="1">IFERROR(__xludf.DUMMYFUNCTION("GOOGLETRANSLATE(C5022,""en"",""hr"")"),"Profil LH")</f>
        <v>Profil LH</v>
      </c>
      <c r="D1110" s="28" t="s">
        <v>11</v>
      </c>
      <c r="E1110" s="29">
        <v>1</v>
      </c>
      <c r="F1110" s="17"/>
    </row>
    <row r="1111" spans="1:9" ht="25.5" customHeight="1" x14ac:dyDescent="0.2">
      <c r="A1111" s="27">
        <v>1109</v>
      </c>
      <c r="B1111" s="29">
        <v>7074349</v>
      </c>
      <c r="C1111" s="29" t="str">
        <f ca="1">IFERROR(__xludf.DUMMYFUNCTION("GOOGLETRANSLATE(C5026,""en"",""hr"")"),"Profil")</f>
        <v>Profil</v>
      </c>
      <c r="D1111" s="28" t="s">
        <v>11</v>
      </c>
      <c r="E1111" s="29">
        <v>1</v>
      </c>
      <c r="F1111" s="17"/>
    </row>
    <row r="1112" spans="1:9" ht="25.5" customHeight="1" x14ac:dyDescent="0.2">
      <c r="A1112" s="27">
        <v>1110</v>
      </c>
      <c r="B1112" s="29">
        <v>7074358</v>
      </c>
      <c r="C1112" s="29" t="str">
        <f ca="1">IFERROR(__xludf.DUMMYFUNCTION("GOOGLETRANSLATE(C5014,""en"",""hr"")"),"Profil")</f>
        <v>Profil</v>
      </c>
      <c r="D1112" s="28" t="s">
        <v>11</v>
      </c>
      <c r="E1112" s="29">
        <v>1</v>
      </c>
      <c r="F1112" s="17"/>
    </row>
    <row r="1113" spans="1:9" ht="25.5" customHeight="1" x14ac:dyDescent="0.2">
      <c r="A1113" s="27">
        <v>1111</v>
      </c>
      <c r="B1113" s="29">
        <v>7074359</v>
      </c>
      <c r="C1113" s="29" t="str">
        <f ca="1">IFERROR(__xludf.DUMMYFUNCTION("GOOGLETRANSLATE(C5081,""en"",""hr"")"),"Poluga")</f>
        <v>Poluga</v>
      </c>
      <c r="D1113" s="28" t="s">
        <v>11</v>
      </c>
      <c r="E1113" s="29">
        <v>1</v>
      </c>
      <c r="F1113" s="17"/>
      <c r="I1113" s="4" t="b">
        <f>INT(F1111*100)=(F1111*100)</f>
        <v>1</v>
      </c>
    </row>
    <row r="1114" spans="1:9" ht="25.5" customHeight="1" x14ac:dyDescent="0.2">
      <c r="A1114" s="27">
        <v>1112</v>
      </c>
      <c r="B1114" s="29">
        <v>7074360</v>
      </c>
      <c r="C1114" s="29" t="str">
        <f ca="1">IFERROR(__xludf.DUMMYFUNCTION("GOOGLETRANSLATE(C5097,""en"",""hr"")"),"Kontrolni kabel")</f>
        <v>Kontrolni kabel</v>
      </c>
      <c r="D1114" s="28" t="s">
        <v>11</v>
      </c>
      <c r="E1114" s="29">
        <v>1</v>
      </c>
      <c r="F1114" s="17"/>
    </row>
    <row r="1115" spans="1:9" ht="25.5" customHeight="1" x14ac:dyDescent="0.2">
      <c r="A1115" s="27">
        <v>1113</v>
      </c>
      <c r="B1115" s="29">
        <v>7074361</v>
      </c>
      <c r="C1115" s="29" t="str">
        <f ca="1">IFERROR(__xludf.DUMMYFUNCTION("GOOGLETRANSLATE(C5023,""en"",""hr"")"),"Profil")</f>
        <v>Profil</v>
      </c>
      <c r="D1115" s="28" t="s">
        <v>11</v>
      </c>
      <c r="E1115" s="29">
        <v>1</v>
      </c>
      <c r="F1115" s="17"/>
    </row>
    <row r="1116" spans="1:9" ht="25.5" customHeight="1" x14ac:dyDescent="0.2">
      <c r="A1116" s="27">
        <v>1114</v>
      </c>
      <c r="B1116" s="29">
        <v>7074363</v>
      </c>
      <c r="C1116" s="29" t="str">
        <f ca="1">IFERROR(__xludf.DUMMYFUNCTION("GOOGLETRANSLATE(C5027,""en"",""hr"")"),"Profil")</f>
        <v>Profil</v>
      </c>
      <c r="D1116" s="28" t="s">
        <v>11</v>
      </c>
      <c r="E1116" s="29">
        <v>1</v>
      </c>
      <c r="F1116" s="17"/>
      <c r="I1116" s="4" t="b">
        <f>INT(F1114*100)=(F1114*100)</f>
        <v>1</v>
      </c>
    </row>
    <row r="1117" spans="1:9" ht="25.5" customHeight="1" x14ac:dyDescent="0.2">
      <c r="A1117" s="27">
        <v>1115</v>
      </c>
      <c r="B1117" s="29">
        <v>7074364</v>
      </c>
      <c r="C1117" s="29" t="str">
        <f ca="1">IFERROR(__xludf.DUMMYFUNCTION("GOOGLETRANSLATE(C1472,""en"",""hr"")"),"Hladnjak rashladne tekućine")</f>
        <v>Hladnjak rashladne tekućine</v>
      </c>
      <c r="D1117" s="28" t="s">
        <v>11</v>
      </c>
      <c r="E1117" s="29">
        <v>1</v>
      </c>
      <c r="F1117" s="17"/>
    </row>
    <row r="1118" spans="1:9" ht="25.5" customHeight="1" x14ac:dyDescent="0.2">
      <c r="A1118" s="27">
        <v>1116</v>
      </c>
      <c r="B1118" s="29">
        <v>7074369</v>
      </c>
      <c r="C1118" s="29" t="str">
        <f ca="1">IFERROR(__xludf.DUMMYFUNCTION("GOOGLETRANSLATE(C5019,""en"",""hr"")"),"Donji nosač")</f>
        <v>Donji nosač</v>
      </c>
      <c r="D1118" s="28" t="s">
        <v>11</v>
      </c>
      <c r="E1118" s="29">
        <v>1</v>
      </c>
      <c r="F1118" s="17"/>
    </row>
    <row r="1119" spans="1:9" ht="25.5" customHeight="1" x14ac:dyDescent="0.2">
      <c r="A1119" s="27">
        <v>1117</v>
      </c>
      <c r="B1119" s="29">
        <v>7074371</v>
      </c>
      <c r="C1119" s="29" t="str">
        <f ca="1">IFERROR(__xludf.DUMMYFUNCTION("GOOGLETRANSLATE(C5060,""en"",""hr"")"),"Držač")</f>
        <v>Držač</v>
      </c>
      <c r="D1119" s="28" t="s">
        <v>11</v>
      </c>
      <c r="E1119" s="29">
        <v>1</v>
      </c>
      <c r="F1119" s="17"/>
    </row>
    <row r="1120" spans="1:9" ht="25.5" customHeight="1" x14ac:dyDescent="0.2">
      <c r="A1120" s="27">
        <v>1118</v>
      </c>
      <c r="B1120" s="29">
        <v>7074373</v>
      </c>
      <c r="C1120" s="29" t="str">
        <f ca="1">IFERROR(__xludf.DUMMYFUNCTION("GOOGLETRANSLATE(C5086,""en"",""hr"")"),"Klipnjača")</f>
        <v>Klipnjača</v>
      </c>
      <c r="D1120" s="28" t="s">
        <v>11</v>
      </c>
      <c r="E1120" s="29">
        <v>1</v>
      </c>
      <c r="F1120" s="17"/>
      <c r="I1120" s="4" t="b">
        <f>INT(F1118*100)=(F1118*100)</f>
        <v>1</v>
      </c>
    </row>
    <row r="1121" spans="1:6" ht="25.5" customHeight="1" x14ac:dyDescent="0.2">
      <c r="A1121" s="27">
        <v>1119</v>
      </c>
      <c r="B1121" s="29">
        <v>7074374</v>
      </c>
      <c r="C1121" s="29" t="str">
        <f ca="1">IFERROR(__xludf.DUMMYFUNCTION("GOOGLETRANSLATE(C5087,""en"",""hr"")"),"Klipnjača")</f>
        <v>Klipnjača</v>
      </c>
      <c r="D1121" s="28" t="s">
        <v>11</v>
      </c>
      <c r="E1121" s="29">
        <v>1</v>
      </c>
      <c r="F1121" s="17"/>
    </row>
    <row r="1122" spans="1:6" ht="25.5" customHeight="1" x14ac:dyDescent="0.2">
      <c r="A1122" s="27">
        <v>1120</v>
      </c>
      <c r="B1122" s="29">
        <v>7074381</v>
      </c>
      <c r="C1122" s="29" t="str">
        <f ca="1">IFERROR(__xludf.DUMMYFUNCTION("GOOGLETRANSLATE(C5183,""en"",""hr"")"),"Oblaganje")</f>
        <v>Oblaganje</v>
      </c>
      <c r="D1122" s="28" t="s">
        <v>11</v>
      </c>
      <c r="E1122" s="29">
        <v>1</v>
      </c>
      <c r="F1122" s="17"/>
    </row>
    <row r="1123" spans="1:6" ht="25.5" customHeight="1" x14ac:dyDescent="0.2">
      <c r="A1123" s="27">
        <v>1121</v>
      </c>
      <c r="B1123" s="29">
        <v>7074393</v>
      </c>
      <c r="C1123" s="29" t="str">
        <f ca="1">IFERROR(__xludf.DUMMYFUNCTION("GOOGLETRANSLATE(C5056,""en"",""hr"")"),"Klipnjača")</f>
        <v>Klipnjača</v>
      </c>
      <c r="D1123" s="28" t="s">
        <v>11</v>
      </c>
      <c r="E1123" s="29">
        <v>1</v>
      </c>
      <c r="F1123" s="17"/>
    </row>
    <row r="1124" spans="1:6" ht="25.5" customHeight="1" x14ac:dyDescent="0.2">
      <c r="A1124" s="27">
        <v>1122</v>
      </c>
      <c r="B1124" s="29">
        <v>7074558</v>
      </c>
      <c r="C1124" s="29" t="str">
        <f ca="1">IFERROR(__xludf.DUMMYFUNCTION("GOOGLETRANSLATE(C3376,""en"",""hr"")"),"Mehanizam za zaključavanje")</f>
        <v>Mehanizam za zaključavanje</v>
      </c>
      <c r="D1124" s="28" t="s">
        <v>11</v>
      </c>
      <c r="E1124" s="29">
        <v>1</v>
      </c>
      <c r="F1124" s="17"/>
    </row>
    <row r="1125" spans="1:6" ht="25.5" customHeight="1" x14ac:dyDescent="0.2">
      <c r="A1125" s="27">
        <v>1123</v>
      </c>
      <c r="B1125" s="29">
        <v>7074562</v>
      </c>
      <c r="C1125" s="29" t="str">
        <f ca="1">IFERROR(__xludf.DUMMYFUNCTION("GOOGLETRANSLATE(C5194,""en"",""hr"")"),"Držač")</f>
        <v>Držač</v>
      </c>
      <c r="D1125" s="28" t="s">
        <v>11</v>
      </c>
      <c r="E1125" s="29">
        <v>1</v>
      </c>
      <c r="F1125" s="17"/>
    </row>
    <row r="1126" spans="1:6" ht="25.5" customHeight="1" x14ac:dyDescent="0.2">
      <c r="A1126" s="27">
        <v>1124</v>
      </c>
      <c r="B1126" s="29">
        <v>7074635</v>
      </c>
      <c r="C1126" s="29" t="str">
        <f ca="1">IFERROR(__xludf.DUMMYFUNCTION("GOOGLETRANSLATE(C4588,""en"",""hr"")"),"Ventilska ručna pumpa")</f>
        <v>Ventilska ručna pumpa</v>
      </c>
      <c r="D1126" s="28" t="s">
        <v>11</v>
      </c>
      <c r="E1126" s="29">
        <v>1</v>
      </c>
      <c r="F1126" s="17"/>
    </row>
    <row r="1127" spans="1:6" ht="25.5" customHeight="1" x14ac:dyDescent="0.2">
      <c r="A1127" s="27">
        <v>1125</v>
      </c>
      <c r="B1127" s="29">
        <v>7074755</v>
      </c>
      <c r="C1127" s="29" t="str">
        <f ca="1">IFERROR(__xludf.DUMMYFUNCTION("GOOGLETRANSLATE(C3531,""en"",""hr"")"),"Držač")</f>
        <v>Držač</v>
      </c>
      <c r="D1127" s="28" t="s">
        <v>11</v>
      </c>
      <c r="E1127" s="29">
        <v>1</v>
      </c>
      <c r="F1127" s="17"/>
    </row>
    <row r="1128" spans="1:6" ht="25.5" customHeight="1" x14ac:dyDescent="0.2">
      <c r="A1128" s="27">
        <v>1126</v>
      </c>
      <c r="B1128" s="29">
        <v>7074758</v>
      </c>
      <c r="C1128" s="29" t="str">
        <f ca="1">IFERROR(__xludf.DUMMYFUNCTION("GOOGLETRANSLATE(C765,""en"",""hr"")"),"Držač")</f>
        <v>Držač</v>
      </c>
      <c r="D1128" s="28" t="s">
        <v>11</v>
      </c>
      <c r="E1128" s="29">
        <v>1</v>
      </c>
      <c r="F1128" s="17"/>
    </row>
    <row r="1129" spans="1:6" ht="25.5" customHeight="1" x14ac:dyDescent="0.2">
      <c r="A1129" s="27">
        <v>1127</v>
      </c>
      <c r="B1129" s="29">
        <v>7074764</v>
      </c>
      <c r="C1129" s="29" t="str">
        <f ca="1">IFERROR(__xludf.DUMMYFUNCTION("GOOGLETRANSLATE(C767,""en"",""hr"")"),"Cijev")</f>
        <v>Cijev</v>
      </c>
      <c r="D1129" s="28" t="s">
        <v>11</v>
      </c>
      <c r="E1129" s="29">
        <v>1</v>
      </c>
      <c r="F1129" s="17"/>
    </row>
    <row r="1130" spans="1:6" ht="25.5" customHeight="1" x14ac:dyDescent="0.2">
      <c r="A1130" s="27">
        <v>1128</v>
      </c>
      <c r="B1130" s="29">
        <v>7074808</v>
      </c>
      <c r="C1130" s="29" t="str">
        <f ca="1">IFERROR(__xludf.DUMMYFUNCTION("GOOGLETRANSLATE(C4324,""en"",""hr"")"),"Poklopac, bijeli")</f>
        <v>Poklopac, bijeli</v>
      </c>
      <c r="D1130" s="28" t="s">
        <v>11</v>
      </c>
      <c r="E1130" s="29">
        <v>1</v>
      </c>
      <c r="F1130" s="17"/>
    </row>
    <row r="1131" spans="1:6" ht="25.5" customHeight="1" x14ac:dyDescent="0.2">
      <c r="A1131" s="27">
        <v>1129</v>
      </c>
      <c r="B1131" s="29">
        <v>7074853</v>
      </c>
      <c r="C1131" s="29" t="str">
        <f ca="1">IFERROR(__xludf.DUMMYFUNCTION("GOOGLETRANSLATE(C1923,""en"",""hr"")"),"Lim desni")</f>
        <v>Lim desni</v>
      </c>
      <c r="D1131" s="28" t="s">
        <v>11</v>
      </c>
      <c r="E1131" s="29">
        <v>1</v>
      </c>
      <c r="F1131" s="17"/>
    </row>
    <row r="1132" spans="1:6" ht="25.5" customHeight="1" x14ac:dyDescent="0.2">
      <c r="A1132" s="27">
        <v>1130</v>
      </c>
      <c r="B1132" s="29">
        <v>7074854</v>
      </c>
      <c r="C1132" s="29" t="str">
        <f ca="1">IFERROR(__xludf.DUMMYFUNCTION("GOOGLETRANSLATE(C1922,""en"",""hr"")"),"Lim lijevo")</f>
        <v>Lim lijevo</v>
      </c>
      <c r="D1132" s="28" t="s">
        <v>11</v>
      </c>
      <c r="E1132" s="29">
        <v>1</v>
      </c>
      <c r="F1132" s="17"/>
    </row>
    <row r="1133" spans="1:6" ht="25.5" customHeight="1" x14ac:dyDescent="0.2">
      <c r="A1133" s="27">
        <v>1131</v>
      </c>
      <c r="B1133" s="29">
        <v>7074858</v>
      </c>
      <c r="C1133" s="29" t="str">
        <f ca="1">IFERROR(__xludf.DUMMYFUNCTION("GOOGLETRANSLATE(C1924,""en"",""hr"")"),"Držač")</f>
        <v>Držač</v>
      </c>
      <c r="D1133" s="28" t="s">
        <v>11</v>
      </c>
      <c r="E1133" s="29">
        <v>1</v>
      </c>
      <c r="F1133" s="17"/>
    </row>
    <row r="1134" spans="1:6" ht="25.5" customHeight="1" x14ac:dyDescent="0.2">
      <c r="A1134" s="27">
        <v>1132</v>
      </c>
      <c r="B1134" s="29">
        <v>7074933</v>
      </c>
      <c r="C1134" s="29" t="str">
        <f ca="1">IFERROR(__xludf.DUMMYFUNCTION("GOOGLETRANSLATE(C358,""en"",""hr"")"),"Felge 6.5Jx16 ET88")</f>
        <v>Felge 6.5Jx16 ET88</v>
      </c>
      <c r="D1134" s="28" t="s">
        <v>11</v>
      </c>
      <c r="E1134" s="29">
        <v>1</v>
      </c>
      <c r="F1134" s="17"/>
    </row>
    <row r="1135" spans="1:6" ht="25.5" customHeight="1" x14ac:dyDescent="0.2">
      <c r="A1135" s="27">
        <v>1133</v>
      </c>
      <c r="B1135" s="29">
        <v>7074935</v>
      </c>
      <c r="C1135" s="29" t="str">
        <f ca="1">IFERROR(__xludf.DUMMYFUNCTION("GOOGLETRANSLATE(C357,""en"",""hr"")"),"Felge 6.5Jx16 ET33")</f>
        <v>Felge 6.5Jx16 ET33</v>
      </c>
      <c r="D1135" s="28" t="s">
        <v>11</v>
      </c>
      <c r="E1135" s="29">
        <v>1</v>
      </c>
      <c r="F1135" s="17"/>
    </row>
    <row r="1136" spans="1:6" ht="25.5" customHeight="1" x14ac:dyDescent="0.2">
      <c r="A1136" s="27">
        <v>1134</v>
      </c>
      <c r="B1136" s="29">
        <v>7074968</v>
      </c>
      <c r="C1136" s="29" t="str">
        <f ca="1">IFERROR(__xludf.DUMMYFUNCTION("GOOGLETRANSLATE(C3923,""en"",""hr"")"),"Štap")</f>
        <v>Štap</v>
      </c>
      <c r="D1136" s="28" t="s">
        <v>11</v>
      </c>
      <c r="E1136" s="29">
        <v>1</v>
      </c>
      <c r="F1136" s="17"/>
    </row>
    <row r="1137" spans="1:9" ht="25.5" customHeight="1" x14ac:dyDescent="0.2">
      <c r="A1137" s="27">
        <v>1135</v>
      </c>
      <c r="B1137" s="29">
        <v>7074974</v>
      </c>
      <c r="C1137" s="29" t="str">
        <f ca="1">IFERROR(__xludf.DUMMYFUNCTION("GOOGLETRANSLATE(C3924,""en"",""hr"")"),"Držač")</f>
        <v>Držač</v>
      </c>
      <c r="D1137" s="28" t="s">
        <v>11</v>
      </c>
      <c r="E1137" s="29">
        <v>1</v>
      </c>
      <c r="F1137" s="17"/>
    </row>
    <row r="1138" spans="1:9" ht="25.5" customHeight="1" x14ac:dyDescent="0.2">
      <c r="A1138" s="27">
        <v>1136</v>
      </c>
      <c r="B1138" s="29">
        <v>7075099</v>
      </c>
      <c r="C1138" s="29" t="str">
        <f ca="1">IFERROR(__xludf.DUMMYFUNCTION("GOOGLETRANSLATE(C3316,""en"",""hr"")"),"Stezna traka")</f>
        <v>Stezna traka</v>
      </c>
      <c r="D1138" s="28" t="s">
        <v>11</v>
      </c>
      <c r="E1138" s="29">
        <v>1</v>
      </c>
      <c r="F1138" s="17"/>
      <c r="I1138" s="4" t="b">
        <f>INT(F1136*100)=(F1136*100)</f>
        <v>1</v>
      </c>
    </row>
    <row r="1139" spans="1:9" ht="25.5" customHeight="1" x14ac:dyDescent="0.2">
      <c r="A1139" s="27">
        <v>1137</v>
      </c>
      <c r="B1139" s="29">
        <v>7075101</v>
      </c>
      <c r="C1139" s="29" t="str">
        <f ca="1">IFERROR(__xludf.DUMMYFUNCTION("GOOGLETRANSLATE(C4131,""en"",""hr"")"),"Držač")</f>
        <v>Držač</v>
      </c>
      <c r="D1139" s="28" t="s">
        <v>11</v>
      </c>
      <c r="E1139" s="29">
        <v>1</v>
      </c>
      <c r="F1139" s="17"/>
    </row>
    <row r="1140" spans="1:9" ht="25.5" customHeight="1" x14ac:dyDescent="0.2">
      <c r="A1140" s="27">
        <v>1138</v>
      </c>
      <c r="B1140" s="29">
        <v>7075102</v>
      </c>
      <c r="C1140" s="29" t="str">
        <f ca="1">IFERROR(__xludf.DUMMYFUNCTION("GOOGLETRANSLATE(C4132,""en"",""hr"")"),"Držač")</f>
        <v>Držač</v>
      </c>
      <c r="D1140" s="28" t="s">
        <v>11</v>
      </c>
      <c r="E1140" s="29">
        <v>1</v>
      </c>
      <c r="F1140" s="17"/>
    </row>
    <row r="1141" spans="1:9" ht="25.5" customHeight="1" x14ac:dyDescent="0.2">
      <c r="A1141" s="27">
        <v>1139</v>
      </c>
      <c r="B1141" s="29">
        <v>7075182</v>
      </c>
      <c r="C1141" s="29" t="str">
        <f ca="1">IFERROR(__xludf.DUMMYFUNCTION("GOOGLETRANSLATE(C4465,""en"",""hr"")"),"brtva")</f>
        <v>brtva</v>
      </c>
      <c r="D1141" s="28" t="s">
        <v>11</v>
      </c>
      <c r="E1141" s="29">
        <v>1</v>
      </c>
      <c r="F1141" s="17"/>
      <c r="I1141" s="4" t="b">
        <f>INT(F1139*100)=(F1139*100)</f>
        <v>1</v>
      </c>
    </row>
    <row r="1142" spans="1:9" ht="25.5" customHeight="1" x14ac:dyDescent="0.2">
      <c r="A1142" s="27">
        <v>1140</v>
      </c>
      <c r="B1142" s="29">
        <v>7075214</v>
      </c>
      <c r="C1142" s="29" t="str">
        <f ca="1">IFERROR(__xludf.DUMMYFUNCTION("GOOGLETRANSLATE(C3146,""en"",""hr"")"),"Deflektor")</f>
        <v>Deflektor</v>
      </c>
      <c r="D1142" s="28" t="s">
        <v>11</v>
      </c>
      <c r="E1142" s="29">
        <v>1</v>
      </c>
      <c r="F1142" s="17"/>
    </row>
    <row r="1143" spans="1:9" ht="25.5" customHeight="1" x14ac:dyDescent="0.2">
      <c r="A1143" s="27">
        <v>1141</v>
      </c>
      <c r="B1143" s="29">
        <v>7075311</v>
      </c>
      <c r="C1143" s="29" t="str">
        <f ca="1">IFERROR(__xludf.DUMMYFUNCTION("GOOGLETRANSLATE(C5468,""en"",""hr"")"),"Odstojna cijev")</f>
        <v>Odstojna cijev</v>
      </c>
      <c r="D1143" s="28" t="s">
        <v>11</v>
      </c>
      <c r="E1143" s="29">
        <v>1</v>
      </c>
      <c r="F1143" s="17"/>
    </row>
    <row r="1144" spans="1:9" ht="25.5" customHeight="1" x14ac:dyDescent="0.2">
      <c r="A1144" s="27">
        <v>1142</v>
      </c>
      <c r="B1144" s="29">
        <v>7075327</v>
      </c>
      <c r="C1144" s="29" t="str">
        <f ca="1">IFERROR(__xludf.DUMMYFUNCTION("GOOGLETRANSLATE(C5469,""en"",""hr"")"),"Sigurnosni pojas")</f>
        <v>Sigurnosni pojas</v>
      </c>
      <c r="D1144" s="28" t="s">
        <v>11</v>
      </c>
      <c r="E1144" s="29">
        <v>1</v>
      </c>
      <c r="F1144" s="17"/>
    </row>
    <row r="1145" spans="1:9" ht="25.5" customHeight="1" x14ac:dyDescent="0.2">
      <c r="A1145" s="27">
        <v>1143</v>
      </c>
      <c r="B1145" s="29">
        <v>7075348</v>
      </c>
      <c r="C1145" s="29" t="str">
        <f ca="1">IFERROR(__xludf.DUMMYFUNCTION("GOOGLETRANSLATE(C4770,""en"",""hr"")"),"Lim, bijeli")</f>
        <v>Lim, bijeli</v>
      </c>
      <c r="D1145" s="28" t="s">
        <v>11</v>
      </c>
      <c r="E1145" s="29">
        <v>1</v>
      </c>
      <c r="F1145" s="17"/>
      <c r="I1145" s="4" t="b">
        <f>INT(F1143*100)=(F1143*100)</f>
        <v>1</v>
      </c>
    </row>
    <row r="1146" spans="1:9" ht="25.5" customHeight="1" x14ac:dyDescent="0.2">
      <c r="A1146" s="27">
        <v>1144</v>
      </c>
      <c r="B1146" s="29">
        <v>7075386</v>
      </c>
      <c r="C1146" s="29" t="str">
        <f ca="1">IFERROR(__xludf.DUMMYFUNCTION("GOOGLETRANSLATE(C4950,""en"",""hr"")"),"Podna prostirka")</f>
        <v>Podna prostirka</v>
      </c>
      <c r="D1146" s="28" t="s">
        <v>11</v>
      </c>
      <c r="E1146" s="29">
        <v>1</v>
      </c>
      <c r="F1146" s="17"/>
    </row>
    <row r="1147" spans="1:9" ht="25.5" customHeight="1" x14ac:dyDescent="0.2">
      <c r="A1147" s="27">
        <v>1145</v>
      </c>
      <c r="B1147" s="29">
        <v>7075399</v>
      </c>
      <c r="C1147" s="29" t="str">
        <f ca="1">IFERROR(__xludf.DUMMYFUNCTION("GOOGLETRANSLATE(C4949,""en"",""hr"")"),"Podna prostirka")</f>
        <v>Podna prostirka</v>
      </c>
      <c r="D1147" s="28" t="s">
        <v>11</v>
      </c>
      <c r="E1147" s="29">
        <v>1</v>
      </c>
      <c r="F1147" s="17"/>
    </row>
    <row r="1148" spans="1:9" ht="25.5" customHeight="1" x14ac:dyDescent="0.2">
      <c r="A1148" s="27">
        <v>1146</v>
      </c>
      <c r="B1148" s="29">
        <v>7075450</v>
      </c>
      <c r="C1148" s="29" t="str">
        <f ca="1">IFERROR(__xludf.DUMMYFUNCTION("GOOGLETRANSLATE(C5035,""en"",""hr"")"),"Profil šarke za vrata")</f>
        <v>Profil šarke za vrata</v>
      </c>
      <c r="D1148" s="28" t="s">
        <v>11</v>
      </c>
      <c r="E1148" s="29">
        <v>1</v>
      </c>
      <c r="F1148" s="17"/>
    </row>
    <row r="1149" spans="1:9" ht="25.5" customHeight="1" x14ac:dyDescent="0.2">
      <c r="A1149" s="27">
        <v>1147</v>
      </c>
      <c r="B1149" s="29">
        <v>7075451</v>
      </c>
      <c r="C1149" s="29" t="str">
        <f ca="1">IFERROR(__xludf.DUMMYFUNCTION("GOOGLETRANSLATE(C5036,""en"",""hr"")"),"Kontra ploča")</f>
        <v>Kontra ploča</v>
      </c>
      <c r="D1149" s="28" t="s">
        <v>11</v>
      </c>
      <c r="E1149" s="29">
        <v>1</v>
      </c>
      <c r="F1149" s="17"/>
    </row>
    <row r="1150" spans="1:9" ht="25.5" customHeight="1" x14ac:dyDescent="0.2">
      <c r="A1150" s="27">
        <v>1148</v>
      </c>
      <c r="B1150" s="29">
        <v>7075455</v>
      </c>
      <c r="C1150" s="29" t="str">
        <f ca="1">IFERROR(__xludf.DUMMYFUNCTION("GOOGLETRANSLATE(C5034,""en"",""hr"")"),"Kontra ploča")</f>
        <v>Kontra ploča</v>
      </c>
      <c r="D1150" s="28" t="s">
        <v>11</v>
      </c>
      <c r="E1150" s="29">
        <v>1</v>
      </c>
      <c r="F1150" s="17"/>
    </row>
    <row r="1151" spans="1:9" ht="25.5" customHeight="1" x14ac:dyDescent="0.2">
      <c r="A1151" s="27">
        <v>1149</v>
      </c>
      <c r="B1151" s="29">
        <v>7075461</v>
      </c>
      <c r="C1151" s="29" t="str">
        <f ca="1">IFERROR(__xludf.DUMMYFUNCTION("GOOGLETRANSLATE(C5001,""en"",""hr"")"),"Vrata, lijevo")</f>
        <v>Vrata, lijevo</v>
      </c>
      <c r="D1151" s="28" t="s">
        <v>11</v>
      </c>
      <c r="E1151" s="29">
        <v>1</v>
      </c>
      <c r="F1151" s="17"/>
    </row>
    <row r="1152" spans="1:9" ht="25.5" customHeight="1" x14ac:dyDescent="0.2">
      <c r="A1152" s="27">
        <v>1150</v>
      </c>
      <c r="B1152" s="29">
        <v>7075499</v>
      </c>
      <c r="C1152" s="29" t="str">
        <f ca="1">IFERROR(__xludf.DUMMYFUNCTION("GOOGLETRANSLATE(C6313,""en"",""hr"")"),"Ožičenje (+PP-DV)")</f>
        <v>Ožičenje (+PP-DV)</v>
      </c>
      <c r="D1152" s="28" t="s">
        <v>11</v>
      </c>
      <c r="E1152" s="29">
        <v>1</v>
      </c>
      <c r="F1152" s="17"/>
    </row>
    <row r="1153" spans="1:9" ht="25.5" customHeight="1" x14ac:dyDescent="0.2">
      <c r="A1153" s="27">
        <v>1151</v>
      </c>
      <c r="B1153" s="29">
        <v>7075500</v>
      </c>
      <c r="C1153" s="29" t="str">
        <f ca="1">IFERROR(__xludf.DUMMYFUNCTION("GOOGLETRANSLATE(C6314,""en"",""hr"")"),"Ožičenje (+PP-DV)")</f>
        <v>Ožičenje (+PP-DV)</v>
      </c>
      <c r="D1153" s="28" t="s">
        <v>11</v>
      </c>
      <c r="E1153" s="29">
        <v>1</v>
      </c>
      <c r="F1153" s="17"/>
    </row>
    <row r="1154" spans="1:9" ht="25.5" customHeight="1" x14ac:dyDescent="0.2">
      <c r="A1154" s="27">
        <v>1152</v>
      </c>
      <c r="B1154" s="29">
        <v>7075508</v>
      </c>
      <c r="C1154" s="29" t="str">
        <f ca="1">IFERROR(__xludf.DUMMYFUNCTION("GOOGLETRANSLATE(C6315,""en"",""hr"")"),"Ožičenje (+PP-DV)")</f>
        <v>Ožičenje (+PP-DV)</v>
      </c>
      <c r="D1154" s="28" t="s">
        <v>11</v>
      </c>
      <c r="E1154" s="29">
        <v>1</v>
      </c>
      <c r="F1154" s="17"/>
    </row>
    <row r="1155" spans="1:9" ht="25.5" customHeight="1" x14ac:dyDescent="0.2">
      <c r="A1155" s="27">
        <v>1153</v>
      </c>
      <c r="B1155" s="29">
        <v>7075574</v>
      </c>
      <c r="C1155" s="29" t="str">
        <f ca="1">IFERROR(__xludf.DUMMYFUNCTION("GOOGLETRANSLATE(C5314,""en"",""hr"")"),"Držač")</f>
        <v>Držač</v>
      </c>
      <c r="D1155" s="28" t="s">
        <v>11</v>
      </c>
      <c r="E1155" s="29">
        <v>1</v>
      </c>
      <c r="F1155" s="17"/>
    </row>
    <row r="1156" spans="1:9" ht="25.5" customHeight="1" x14ac:dyDescent="0.2">
      <c r="A1156" s="27">
        <v>1154</v>
      </c>
      <c r="B1156" s="29">
        <v>7075645</v>
      </c>
      <c r="C1156" s="29" t="str">
        <f ca="1">IFERROR(__xludf.DUMMYFUNCTION("GOOGLETRANSLATE(C6311,""en"",""hr"")"),"Ožičenje (+TD-H)")</f>
        <v>Ožičenje (+TD-H)</v>
      </c>
      <c r="D1156" s="28" t="s">
        <v>11</v>
      </c>
      <c r="E1156" s="29">
        <v>1</v>
      </c>
      <c r="F1156" s="17"/>
    </row>
    <row r="1157" spans="1:9" ht="25.5" customHeight="1" x14ac:dyDescent="0.2">
      <c r="A1157" s="27">
        <v>1155</v>
      </c>
      <c r="B1157" s="29">
        <v>7075684</v>
      </c>
      <c r="C1157" s="29" t="str">
        <f ca="1">IFERROR(__xludf.DUMMYFUNCTION("GOOGLETRANSLATE(C216,""en"",""hr"")"),"Kompresor klime")</f>
        <v>Kompresor klime</v>
      </c>
      <c r="D1157" s="28" t="s">
        <v>11</v>
      </c>
      <c r="E1157" s="29">
        <v>1</v>
      </c>
      <c r="F1157" s="17"/>
    </row>
    <row r="1158" spans="1:9" ht="25.5" customHeight="1" x14ac:dyDescent="0.2">
      <c r="A1158" s="27">
        <v>1156</v>
      </c>
      <c r="B1158" s="29">
        <v>7075751</v>
      </c>
      <c r="C1158" s="29" t="str">
        <f ca="1">IFERROR(__xludf.DUMMYFUNCTION("GOOGLETRANSLATE(C1099,""en"",""hr"")"),"Senzor razine dizela")</f>
        <v>Senzor razine dizela</v>
      </c>
      <c r="D1158" s="28" t="s">
        <v>11</v>
      </c>
      <c r="E1158" s="29">
        <v>1</v>
      </c>
      <c r="F1158" s="17"/>
    </row>
    <row r="1159" spans="1:9" ht="25.5" customHeight="1" x14ac:dyDescent="0.2">
      <c r="A1159" s="27">
        <v>1157</v>
      </c>
      <c r="B1159" s="29">
        <v>7075758</v>
      </c>
      <c r="C1159" s="29" t="str">
        <f ca="1">IFERROR(__xludf.DUMMYFUNCTION("GOOGLETRANSLATE(C5313,""en"",""hr"")"),"Držač")</f>
        <v>Držač</v>
      </c>
      <c r="D1159" s="28" t="s">
        <v>11</v>
      </c>
      <c r="E1159" s="29">
        <v>1</v>
      </c>
      <c r="F1159" s="17"/>
    </row>
    <row r="1160" spans="1:9" ht="25.5" customHeight="1" x14ac:dyDescent="0.2">
      <c r="A1160" s="27">
        <v>1158</v>
      </c>
      <c r="B1160" s="29">
        <v>7075761</v>
      </c>
      <c r="C1160" s="29" t="str">
        <f ca="1">IFERROR(__xludf.DUMMYFUNCTION("GOOGLETRANSLATE(C5297,""en"",""hr"")"),"Prikaz")</f>
        <v>Prikaz</v>
      </c>
      <c r="D1160" s="28" t="s">
        <v>11</v>
      </c>
      <c r="E1160" s="29">
        <v>1</v>
      </c>
      <c r="F1160" s="17"/>
    </row>
    <row r="1161" spans="1:9" ht="25.5" customHeight="1" x14ac:dyDescent="0.2">
      <c r="A1161" s="27">
        <v>1159</v>
      </c>
      <c r="B1161" s="29">
        <v>7075779</v>
      </c>
      <c r="C1161" s="29" t="str">
        <f ca="1">IFERROR(__xludf.DUMMYFUNCTION("GOOGLETRANSLATE(C5059,""en"",""hr"")"),"Ključ i brava vrata kabine CC21")</f>
        <v>Ključ i brava vrata kabine CC21</v>
      </c>
      <c r="D1161" s="28" t="s">
        <v>11</v>
      </c>
      <c r="E1161" s="29">
        <v>1</v>
      </c>
      <c r="F1161" s="17"/>
    </row>
    <row r="1162" spans="1:9" ht="25.5" customHeight="1" x14ac:dyDescent="0.2">
      <c r="A1162" s="27">
        <v>1160</v>
      </c>
      <c r="B1162" s="29">
        <v>7075783</v>
      </c>
      <c r="C1162" s="29" t="str">
        <f ca="1">IFERROR(__xludf.DUMMYFUNCTION("GOOGLETRANSLATE(C1101,""en"",""hr"")"),"Ključ za paljenje CC21")</f>
        <v>Ključ za paljenje CC21</v>
      </c>
      <c r="D1162" s="28" t="s">
        <v>11</v>
      </c>
      <c r="E1162" s="29">
        <v>1</v>
      </c>
      <c r="F1162" s="17"/>
    </row>
    <row r="1163" spans="1:9" ht="25.5" customHeight="1" x14ac:dyDescent="0.2">
      <c r="A1163" s="27">
        <v>1161</v>
      </c>
      <c r="B1163" s="29">
        <v>7075786</v>
      </c>
      <c r="C1163" s="29" t="str">
        <f ca="1">IFERROR(__xludf.DUMMYFUNCTION("GOOGLETRANSLATE(C3932,""en"",""hr"")"),"Ručka")</f>
        <v>Ručka</v>
      </c>
      <c r="D1163" s="28" t="s">
        <v>11</v>
      </c>
      <c r="E1163" s="29">
        <v>1</v>
      </c>
      <c r="F1163" s="17"/>
    </row>
    <row r="1164" spans="1:9" ht="25.5" customHeight="1" x14ac:dyDescent="0.2">
      <c r="A1164" s="27">
        <v>1162</v>
      </c>
      <c r="B1164" s="29">
        <v>7075898</v>
      </c>
      <c r="C1164" s="29" t="str">
        <f ca="1">IFERROR(__xludf.DUMMYFUNCTION("GOOGLETRANSLATE(C4225,""en"",""hr"")"),"podrška")</f>
        <v>podrška</v>
      </c>
      <c r="D1164" s="28" t="s">
        <v>11</v>
      </c>
      <c r="E1164" s="29">
        <v>1</v>
      </c>
      <c r="F1164" s="17"/>
      <c r="I1164" s="4" t="b">
        <f>INT(F1162*100)=(F1162*100)</f>
        <v>1</v>
      </c>
    </row>
    <row r="1165" spans="1:9" ht="25.5" customHeight="1" x14ac:dyDescent="0.2">
      <c r="A1165" s="27">
        <v>1163</v>
      </c>
      <c r="B1165" s="29">
        <v>7075901</v>
      </c>
      <c r="C1165" s="29" t="str">
        <f ca="1">IFERROR(__xludf.DUMMYFUNCTION("GOOGLETRANSLATE(C4173,""en"",""hr"")"),"Okretni")</f>
        <v>Okretni</v>
      </c>
      <c r="D1165" s="28" t="s">
        <v>11</v>
      </c>
      <c r="E1165" s="29">
        <v>1</v>
      </c>
      <c r="F1165" s="17"/>
    </row>
    <row r="1166" spans="1:9" ht="25.5" customHeight="1" x14ac:dyDescent="0.2">
      <c r="A1166" s="27">
        <v>1164</v>
      </c>
      <c r="B1166" s="29">
        <v>7075905</v>
      </c>
      <c r="C1166" s="29" t="str">
        <f ca="1">IFERROR(__xludf.DUMMYFUNCTION("GOOGLETRANSLATE(C4244,""en"",""hr"")"),"Ruka grane")</f>
        <v>Ruka grane</v>
      </c>
      <c r="D1166" s="28" t="s">
        <v>11</v>
      </c>
      <c r="E1166" s="29">
        <v>1</v>
      </c>
      <c r="F1166" s="17"/>
    </row>
    <row r="1167" spans="1:9" ht="25.5" customHeight="1" x14ac:dyDescent="0.2">
      <c r="A1167" s="27">
        <v>1165</v>
      </c>
      <c r="B1167" s="29">
        <v>7075908</v>
      </c>
      <c r="C1167" s="29" t="str">
        <f ca="1">IFERROR(__xludf.DUMMYFUNCTION("GOOGLETRANSLATE(C4178,""en"",""hr"")"),"Boom Arm")</f>
        <v>Boom Arm</v>
      </c>
      <c r="D1167" s="28" t="s">
        <v>11</v>
      </c>
      <c r="E1167" s="29">
        <v>1</v>
      </c>
      <c r="F1167" s="17"/>
      <c r="I1167" s="4" t="b">
        <f>INT(F1165*100)=(F1165*100)</f>
        <v>1</v>
      </c>
    </row>
    <row r="1168" spans="1:9" ht="25.5" customHeight="1" x14ac:dyDescent="0.2">
      <c r="A1168" s="27">
        <v>1166</v>
      </c>
      <c r="B1168" s="29">
        <v>7075915</v>
      </c>
      <c r="C1168" s="29" t="str">
        <f ca="1">IFERROR(__xludf.DUMMYFUNCTION("GOOGLETRANSLATE(C6671,""en"",""hr"")"),"Držač")</f>
        <v>Držač</v>
      </c>
      <c r="D1168" s="28" t="s">
        <v>11</v>
      </c>
      <c r="E1168" s="29">
        <v>1</v>
      </c>
      <c r="F1168" s="17"/>
    </row>
    <row r="1169" spans="1:9" ht="25.5" customHeight="1" x14ac:dyDescent="0.2">
      <c r="A1169" s="27">
        <v>1167</v>
      </c>
      <c r="B1169" s="29">
        <v>7075929</v>
      </c>
      <c r="C1169" s="29" t="str">
        <f ca="1">IFERROR(__xludf.DUMMYFUNCTION("GOOGLETRANSLATE(C5280,""en"",""hr"")"),"Supporto")</f>
        <v>Supporto</v>
      </c>
      <c r="D1169" s="28" t="s">
        <v>11</v>
      </c>
      <c r="E1169" s="29">
        <v>1</v>
      </c>
      <c r="F1169" s="17"/>
    </row>
    <row r="1170" spans="1:9" ht="25.5" customHeight="1" x14ac:dyDescent="0.2">
      <c r="A1170" s="27">
        <v>1168</v>
      </c>
      <c r="B1170" s="29">
        <v>7075935</v>
      </c>
      <c r="C1170" s="29" t="str">
        <f ca="1">IFERROR(__xludf.DUMMYFUNCTION("GOOGLETRANSLATE(C5900,""en"",""hr"")"),"Kontrolni blok")</f>
        <v>Kontrolni blok</v>
      </c>
      <c r="D1170" s="28" t="s">
        <v>11</v>
      </c>
      <c r="E1170" s="29">
        <v>1</v>
      </c>
      <c r="F1170" s="17"/>
    </row>
    <row r="1171" spans="1:9" ht="25.5" customHeight="1" x14ac:dyDescent="0.2">
      <c r="A1171" s="27">
        <v>1169</v>
      </c>
      <c r="B1171" s="29">
        <v>7075957</v>
      </c>
      <c r="C1171" s="29" t="str">
        <f ca="1">IFERROR(__xludf.DUMMYFUNCTION("GOOGLETRANSLATE(C5152,""en"",""hr"")"),"Oplata")</f>
        <v>Oplata</v>
      </c>
      <c r="D1171" s="28" t="s">
        <v>11</v>
      </c>
      <c r="E1171" s="29">
        <v>1</v>
      </c>
      <c r="F1171" s="17"/>
      <c r="I1171" s="4" t="b">
        <f>INT(F1169*100)=(F1169*100)</f>
        <v>1</v>
      </c>
    </row>
    <row r="1172" spans="1:9" ht="25.5" customHeight="1" x14ac:dyDescent="0.2">
      <c r="A1172" s="27">
        <v>1170</v>
      </c>
      <c r="B1172" s="29">
        <v>7075990</v>
      </c>
      <c r="C1172" s="29" t="str">
        <f ca="1">IFERROR(__xludf.DUMMYFUNCTION("GOOGLETRANSLATE(C4177,""en"",""hr"")"),"Konzola")</f>
        <v>Konzola</v>
      </c>
      <c r="D1172" s="28" t="s">
        <v>11</v>
      </c>
      <c r="E1172" s="29">
        <v>1</v>
      </c>
      <c r="F1172" s="17"/>
    </row>
    <row r="1173" spans="1:9" ht="25.5" customHeight="1" x14ac:dyDescent="0.2">
      <c r="A1173" s="27">
        <v>1171</v>
      </c>
      <c r="B1173" s="29">
        <v>7076023</v>
      </c>
      <c r="C1173" s="29" t="str">
        <f ca="1">IFERROR(__xludf.DUMMYFUNCTION("GOOGLETRANSLATE(C4215,""en"",""hr"")"),"Osovina")</f>
        <v>Osovina</v>
      </c>
      <c r="D1173" s="28" t="s">
        <v>11</v>
      </c>
      <c r="E1173" s="29">
        <v>1</v>
      </c>
      <c r="F1173" s="17"/>
    </row>
    <row r="1174" spans="1:9" ht="25.5" customHeight="1" x14ac:dyDescent="0.2">
      <c r="A1174" s="27">
        <v>1172</v>
      </c>
      <c r="B1174" s="29">
        <v>7076024</v>
      </c>
      <c r="C1174" s="29" t="str">
        <f ca="1">IFERROR(__xludf.DUMMYFUNCTION("GOOGLETRANSLATE(C2884,""en"",""hr"")"),"Theraded šipka")</f>
        <v>Theraded šipka</v>
      </c>
      <c r="D1174" s="28" t="s">
        <v>11</v>
      </c>
      <c r="E1174" s="29">
        <v>1</v>
      </c>
      <c r="F1174" s="17"/>
    </row>
    <row r="1175" spans="1:9" ht="25.5" customHeight="1" x14ac:dyDescent="0.2">
      <c r="A1175" s="27">
        <v>1173</v>
      </c>
      <c r="B1175" s="29">
        <v>7076056</v>
      </c>
      <c r="C1175" s="29" t="str">
        <f ca="1">IFERROR(__xludf.DUMMYFUNCTION("GOOGLETRANSLATE(C5444,""en"",""hr"")"),"Straža")</f>
        <v>Straža</v>
      </c>
      <c r="D1175" s="28" t="s">
        <v>11</v>
      </c>
      <c r="E1175" s="29">
        <v>1</v>
      </c>
      <c r="F1175" s="17"/>
    </row>
    <row r="1176" spans="1:9" ht="25.5" customHeight="1" x14ac:dyDescent="0.2">
      <c r="A1176" s="27">
        <v>1174</v>
      </c>
      <c r="B1176" s="29">
        <v>7076057</v>
      </c>
      <c r="C1176" s="29" t="str">
        <f ca="1">IFERROR(__xludf.DUMMYFUNCTION("GOOGLETRANSLATE(C5070,""en"",""hr"")"),"Zasun za zatvaranje")</f>
        <v>Zasun za zatvaranje</v>
      </c>
      <c r="D1176" s="28" t="s">
        <v>11</v>
      </c>
      <c r="E1176" s="29">
        <v>1</v>
      </c>
      <c r="F1176" s="17"/>
    </row>
    <row r="1177" spans="1:9" ht="25.5" customHeight="1" x14ac:dyDescent="0.2">
      <c r="A1177" s="27">
        <v>1175</v>
      </c>
      <c r="B1177" s="29">
        <v>7076058</v>
      </c>
      <c r="C1177" s="29" t="str">
        <f ca="1">IFERROR(__xludf.DUMMYFUNCTION("GOOGLETRANSLATE(C5071,""en"",""hr"")"),"Blokirati")</f>
        <v>Blokirati</v>
      </c>
      <c r="D1177" s="28" t="s">
        <v>11</v>
      </c>
      <c r="E1177" s="29">
        <v>1</v>
      </c>
      <c r="F1177" s="17"/>
    </row>
    <row r="1178" spans="1:9" ht="25.5" customHeight="1" x14ac:dyDescent="0.2">
      <c r="A1178" s="27">
        <v>1176</v>
      </c>
      <c r="B1178" s="29">
        <v>7076060</v>
      </c>
      <c r="C1178" s="29" t="str">
        <f ca="1">IFERROR(__xludf.DUMMYFUNCTION("GOOGLETRANSLATE(C4180,""en"",""hr"")"),"Perilica")</f>
        <v>Perilica</v>
      </c>
      <c r="D1178" s="28" t="s">
        <v>11</v>
      </c>
      <c r="E1178" s="29">
        <v>1</v>
      </c>
      <c r="F1178" s="17"/>
    </row>
    <row r="1179" spans="1:9" ht="25.5" customHeight="1" x14ac:dyDescent="0.2">
      <c r="A1179" s="27">
        <v>1177</v>
      </c>
      <c r="B1179" s="29">
        <v>7076062</v>
      </c>
      <c r="C1179" s="29" t="str">
        <f ca="1">IFERROR(__xludf.DUMMYFUNCTION("GOOGLETRANSLATE(C5002,""en"",""hr"")"),"Vrata, desno")</f>
        <v>Vrata, desno</v>
      </c>
      <c r="D1179" s="28" t="s">
        <v>11</v>
      </c>
      <c r="E1179" s="29">
        <v>1</v>
      </c>
      <c r="F1179" s="17"/>
    </row>
    <row r="1180" spans="1:9" ht="25.5" customHeight="1" x14ac:dyDescent="0.2">
      <c r="A1180" s="27">
        <v>1178</v>
      </c>
      <c r="B1180" s="29">
        <v>7076067</v>
      </c>
      <c r="C1180" s="29" t="str">
        <f ca="1">IFERROR(__xludf.DUMMYFUNCTION("GOOGLETRANSLATE(C5072,""en"",""hr"")"),"Napetost opruge")</f>
        <v>Napetost opruge</v>
      </c>
      <c r="D1180" s="28" t="s">
        <v>11</v>
      </c>
      <c r="E1180" s="29">
        <v>1</v>
      </c>
      <c r="F1180" s="17"/>
    </row>
    <row r="1181" spans="1:9" ht="25.5" customHeight="1" x14ac:dyDescent="0.2">
      <c r="A1181" s="27">
        <v>1179</v>
      </c>
      <c r="B1181" s="29">
        <v>7076092</v>
      </c>
      <c r="C1181" s="29" t="str">
        <f ca="1">IFERROR(__xludf.DUMMYFUNCTION("GOOGLETRANSLATE(C6635,""en"",""hr"")"),"Držač RH")</f>
        <v>Držač RH</v>
      </c>
      <c r="D1181" s="28" t="s">
        <v>11</v>
      </c>
      <c r="E1181" s="29">
        <v>1</v>
      </c>
      <c r="F1181" s="17"/>
    </row>
    <row r="1182" spans="1:9" ht="25.5" customHeight="1" x14ac:dyDescent="0.2">
      <c r="A1182" s="27">
        <v>1180</v>
      </c>
      <c r="B1182" s="29">
        <v>7076108</v>
      </c>
      <c r="C1182" s="29" t="str">
        <f ca="1">IFERROR(__xludf.DUMMYFUNCTION("GOOGLETRANSLATE(C2886,""en"",""hr"")"),"Perilica")</f>
        <v>Perilica</v>
      </c>
      <c r="D1182" s="28" t="s">
        <v>11</v>
      </c>
      <c r="E1182" s="29">
        <v>1</v>
      </c>
      <c r="F1182" s="17"/>
    </row>
    <row r="1183" spans="1:9" ht="25.5" customHeight="1" x14ac:dyDescent="0.2">
      <c r="A1183" s="27">
        <v>1181</v>
      </c>
      <c r="B1183" s="29">
        <v>7076110</v>
      </c>
      <c r="C1183" s="29" t="str">
        <f ca="1">IFERROR(__xludf.DUMMYFUNCTION("GOOGLETRANSLATE(C6830,""en"",""hr"")"),"Držač")</f>
        <v>Držač</v>
      </c>
      <c r="D1183" s="28" t="s">
        <v>11</v>
      </c>
      <c r="E1183" s="29">
        <v>1</v>
      </c>
      <c r="F1183" s="17"/>
    </row>
    <row r="1184" spans="1:9" ht="25.5" customHeight="1" x14ac:dyDescent="0.2">
      <c r="A1184" s="27">
        <v>1182</v>
      </c>
      <c r="B1184" s="29">
        <v>7076150</v>
      </c>
      <c r="C1184" s="29" t="str">
        <f ca="1">IFERROR(__xludf.DUMMYFUNCTION("GOOGLETRANSLATE(C331,""en"",""hr"")"),"Branik uklj. podrška")</f>
        <v>Branik uklj. podrška</v>
      </c>
      <c r="D1184" s="28" t="s">
        <v>11</v>
      </c>
      <c r="E1184" s="29">
        <v>1</v>
      </c>
      <c r="F1184" s="17"/>
    </row>
    <row r="1185" spans="1:9" ht="25.5" customHeight="1" x14ac:dyDescent="0.2">
      <c r="A1185" s="27">
        <v>1183</v>
      </c>
      <c r="B1185" s="29">
        <v>7076174</v>
      </c>
      <c r="C1185" s="29" t="str">
        <f ca="1">IFERROR(__xludf.DUMMYFUNCTION("GOOGLETRANSLATE(C636,""en"",""hr"")"),"Kapica glavčine")</f>
        <v>Kapica glavčine</v>
      </c>
      <c r="D1185" s="28" t="s">
        <v>11</v>
      </c>
      <c r="E1185" s="29">
        <v>1</v>
      </c>
      <c r="F1185" s="17"/>
    </row>
    <row r="1186" spans="1:9" ht="25.5" customHeight="1" x14ac:dyDescent="0.2">
      <c r="A1186" s="27">
        <v>1184</v>
      </c>
      <c r="B1186" s="29">
        <v>7076208</v>
      </c>
      <c r="C1186" s="29" t="str">
        <f ca="1">IFERROR(__xludf.DUMMYFUNCTION("GOOGLETRANSLATE(C4256,""en"",""hr"")"),"Uređaj za zaključavanje")</f>
        <v>Uređaj za zaključavanje</v>
      </c>
      <c r="D1186" s="28" t="s">
        <v>11</v>
      </c>
      <c r="E1186" s="29">
        <v>1</v>
      </c>
      <c r="F1186" s="17"/>
    </row>
    <row r="1187" spans="1:9" ht="25.5" customHeight="1" x14ac:dyDescent="0.2">
      <c r="A1187" s="27">
        <v>1185</v>
      </c>
      <c r="B1187" s="29">
        <v>7076216</v>
      </c>
      <c r="C1187" s="29" t="str">
        <f ca="1">IFERROR(__xludf.DUMMYFUNCTION("GOOGLETRANSLATE(C4189,""en"",""hr"")"),"Željeznica")</f>
        <v>Željeznica</v>
      </c>
      <c r="D1187" s="28" t="s">
        <v>11</v>
      </c>
      <c r="E1187" s="29">
        <v>1</v>
      </c>
      <c r="F1187" s="17"/>
    </row>
    <row r="1188" spans="1:9" ht="25.5" customHeight="1" x14ac:dyDescent="0.2">
      <c r="A1188" s="27">
        <v>1186</v>
      </c>
      <c r="B1188" s="29">
        <v>7076302</v>
      </c>
      <c r="C1188" s="29" t="str">
        <f ca="1">IFERROR(__xludf.DUMMYFUNCTION("GOOGLETRANSLATE(C5429,""en"",""hr"")"),"Sjedalo desno, standardno")</f>
        <v>Sjedalo desno, standardno</v>
      </c>
      <c r="D1188" s="28" t="s">
        <v>11</v>
      </c>
      <c r="E1188" s="29">
        <v>1</v>
      </c>
      <c r="F1188" s="17"/>
    </row>
    <row r="1189" spans="1:9" ht="25.5" customHeight="1" x14ac:dyDescent="0.2">
      <c r="A1189" s="27">
        <v>1187</v>
      </c>
      <c r="B1189" s="29">
        <v>7076303</v>
      </c>
      <c r="C1189" s="29" t="str">
        <f ca="1">IFERROR(__xludf.DUMMYFUNCTION("GOOGLETRANSLATE(C5430,""en"",""hr"")"),"Sjedalo lijevo, standardno bez pojasa")</f>
        <v>Sjedalo lijevo, standardno bez pojasa</v>
      </c>
      <c r="D1189" s="28" t="s">
        <v>11</v>
      </c>
      <c r="E1189" s="29">
        <v>1</v>
      </c>
      <c r="F1189" s="17"/>
      <c r="I1189" s="4" t="b">
        <f>INT(F1187*100)=(F1187*100)</f>
        <v>1</v>
      </c>
    </row>
    <row r="1190" spans="1:9" ht="25.5" customHeight="1" x14ac:dyDescent="0.2">
      <c r="A1190" s="27">
        <v>1188</v>
      </c>
      <c r="B1190" s="29">
        <v>7076385</v>
      </c>
      <c r="C1190" s="29" t="str">
        <f ca="1">IFERROR(__xludf.DUMMYFUNCTION("GOOGLETRANSLATE(C3184,""en"",""hr"")"),"Čahura")</f>
        <v>Čahura</v>
      </c>
      <c r="D1190" s="28" t="s">
        <v>11</v>
      </c>
      <c r="E1190" s="29">
        <v>1</v>
      </c>
      <c r="F1190" s="17"/>
    </row>
    <row r="1191" spans="1:9" ht="25.5" customHeight="1" x14ac:dyDescent="0.2">
      <c r="A1191" s="27">
        <v>1189</v>
      </c>
      <c r="B1191" s="29">
        <v>7076397</v>
      </c>
      <c r="C1191" s="29" t="str">
        <f ca="1">IFERROR(__xludf.DUMMYFUNCTION("GOOGLETRANSLATE(C5285,""en"",""hr"")"),"Zaštita")</f>
        <v>Zaštita</v>
      </c>
      <c r="D1191" s="28" t="s">
        <v>11</v>
      </c>
      <c r="E1191" s="29">
        <v>1</v>
      </c>
      <c r="F1191" s="17"/>
    </row>
    <row r="1192" spans="1:9" ht="25.5" customHeight="1" x14ac:dyDescent="0.2">
      <c r="A1192" s="27">
        <v>1190</v>
      </c>
      <c r="B1192" s="29">
        <v>7076419</v>
      </c>
      <c r="C1192" s="29" t="str">
        <f ca="1">IFERROR(__xludf.DUMMYFUNCTION("GOOGLETRANSLATE(C5282,""en"",""hr"")"),"Oplata")</f>
        <v>Oplata</v>
      </c>
      <c r="D1192" s="28" t="s">
        <v>11</v>
      </c>
      <c r="E1192" s="29">
        <v>1</v>
      </c>
      <c r="F1192" s="17"/>
      <c r="I1192" s="4" t="b">
        <f>INT(F1190*100)=(F1190*100)</f>
        <v>1</v>
      </c>
    </row>
    <row r="1193" spans="1:9" ht="25.5" customHeight="1" x14ac:dyDescent="0.2">
      <c r="A1193" s="27">
        <v>1191</v>
      </c>
      <c r="B1193" s="29">
        <v>7076431</v>
      </c>
      <c r="C1193" s="29" t="str">
        <f ca="1">IFERROR(__xludf.DUMMYFUNCTION("GOOGLETRANSLATE(C5281,""en"",""hr"")"),"Držač")</f>
        <v>Držač</v>
      </c>
      <c r="D1193" s="28" t="s">
        <v>11</v>
      </c>
      <c r="E1193" s="29">
        <v>1</v>
      </c>
      <c r="F1193" s="17"/>
    </row>
    <row r="1194" spans="1:9" ht="25.5" customHeight="1" x14ac:dyDescent="0.2">
      <c r="A1194" s="27">
        <v>1192</v>
      </c>
      <c r="B1194" s="29">
        <v>7076445</v>
      </c>
      <c r="C1194" s="29" t="str">
        <f ca="1">IFERROR(__xludf.DUMMYFUNCTION("GOOGLETRANSLATE(C3085,""en"",""hr"")"),"Držač")</f>
        <v>Držač</v>
      </c>
      <c r="D1194" s="28" t="s">
        <v>11</v>
      </c>
      <c r="E1194" s="29">
        <v>1</v>
      </c>
      <c r="F1194" s="17"/>
    </row>
    <row r="1195" spans="1:9" ht="25.5" customHeight="1" x14ac:dyDescent="0.2">
      <c r="A1195" s="27">
        <v>1193</v>
      </c>
      <c r="B1195" s="29">
        <v>7076446</v>
      </c>
      <c r="C1195" s="29" t="str">
        <f ca="1">IFERROR(__xludf.DUMMYFUNCTION("GOOGLETRANSLATE(C3084,""en"",""hr"")"),"Držač")</f>
        <v>Držač</v>
      </c>
      <c r="D1195" s="28" t="s">
        <v>11</v>
      </c>
      <c r="E1195" s="29">
        <v>1</v>
      </c>
      <c r="F1195" s="17"/>
    </row>
    <row r="1196" spans="1:9" ht="25.5" customHeight="1" x14ac:dyDescent="0.2">
      <c r="A1196" s="27">
        <v>1194</v>
      </c>
      <c r="B1196" s="29">
        <v>7076448</v>
      </c>
      <c r="C1196" s="29" t="str">
        <f ca="1">IFERROR(__xludf.DUMMYFUNCTION("GOOGLETRANSLATE(C5283,""en"",""hr"")"),"Oplata")</f>
        <v>Oplata</v>
      </c>
      <c r="D1196" s="28" t="s">
        <v>11</v>
      </c>
      <c r="E1196" s="29">
        <v>1</v>
      </c>
      <c r="F1196" s="17"/>
      <c r="I1196" s="4" t="b">
        <f>INT(F1194*100)=(F1194*100)</f>
        <v>1</v>
      </c>
    </row>
    <row r="1197" spans="1:9" ht="25.5" customHeight="1" x14ac:dyDescent="0.2">
      <c r="A1197" s="27">
        <v>1195</v>
      </c>
      <c r="B1197" s="29">
        <v>7076523</v>
      </c>
      <c r="C1197" s="29" t="str">
        <f ca="1">IFERROR(__xludf.DUMMYFUNCTION("GOOGLETRANSLATE(C5124,""en"",""hr"")"),"Montažna ploča, lijevo")</f>
        <v>Montažna ploča, lijevo</v>
      </c>
      <c r="D1197" s="28" t="s">
        <v>11</v>
      </c>
      <c r="E1197" s="29">
        <v>1</v>
      </c>
      <c r="F1197" s="17"/>
    </row>
    <row r="1198" spans="1:9" ht="25.5" customHeight="1" x14ac:dyDescent="0.2">
      <c r="A1198" s="27">
        <v>1196</v>
      </c>
      <c r="B1198" s="29">
        <v>7076524</v>
      </c>
      <c r="C1198" s="29" t="str">
        <f ca="1">IFERROR(__xludf.DUMMYFUNCTION("GOOGLETRANSLATE(C5127,""en"",""hr"")"),"Montažna ploča, desno")</f>
        <v>Montažna ploča, desno</v>
      </c>
      <c r="D1198" s="28" t="s">
        <v>11</v>
      </c>
      <c r="E1198" s="29">
        <v>1</v>
      </c>
      <c r="F1198" s="17"/>
    </row>
    <row r="1199" spans="1:9" ht="25.5" customHeight="1" x14ac:dyDescent="0.2">
      <c r="A1199" s="27">
        <v>1197</v>
      </c>
      <c r="B1199" s="29">
        <v>7076537</v>
      </c>
      <c r="C1199" s="29" t="str">
        <f ca="1">IFERROR(__xludf.DUMMYFUNCTION("GOOGLETRANSLATE(C3419,""en"",""hr"")"),"režanj")</f>
        <v>režanj</v>
      </c>
      <c r="D1199" s="28" t="s">
        <v>11</v>
      </c>
      <c r="E1199" s="29">
        <v>1</v>
      </c>
      <c r="F1199" s="17"/>
    </row>
    <row r="1200" spans="1:9" ht="25.5" customHeight="1" x14ac:dyDescent="0.2">
      <c r="A1200" s="27">
        <v>1198</v>
      </c>
      <c r="B1200" s="29">
        <v>7076543</v>
      </c>
      <c r="C1200" s="29" t="str">
        <f ca="1">IFERROR(__xludf.DUMMYFUNCTION("GOOGLETRANSLATE(C1171,""en"",""hr"")"),"Držač")</f>
        <v>Držač</v>
      </c>
      <c r="D1200" s="28" t="s">
        <v>11</v>
      </c>
      <c r="E1200" s="29">
        <v>1</v>
      </c>
      <c r="F1200" s="17"/>
    </row>
    <row r="1201" spans="1:9" ht="25.5" customHeight="1" x14ac:dyDescent="0.2">
      <c r="A1201" s="27">
        <v>1199</v>
      </c>
      <c r="B1201" s="29">
        <v>7076544</v>
      </c>
      <c r="C1201" s="29" t="str">
        <f ca="1">IFERROR(__xludf.DUMMYFUNCTION("GOOGLETRANSLATE(C6826,""en"",""hr"")"),"Protudjelo")</f>
        <v>Protudjelo</v>
      </c>
      <c r="D1201" s="28" t="s">
        <v>11</v>
      </c>
      <c r="E1201" s="29">
        <v>1</v>
      </c>
      <c r="F1201" s="17"/>
    </row>
    <row r="1202" spans="1:9" ht="25.5" customHeight="1" x14ac:dyDescent="0.2">
      <c r="A1202" s="27">
        <v>1200</v>
      </c>
      <c r="B1202" s="29">
        <v>7076546</v>
      </c>
      <c r="C1202" s="29" t="str">
        <f ca="1">IFERROR(__xludf.DUMMYFUNCTION("GOOGLETRANSLATE(C6822,""en"",""hr"")"),"Držač")</f>
        <v>Držač</v>
      </c>
      <c r="D1202" s="28" t="s">
        <v>11</v>
      </c>
      <c r="E1202" s="29">
        <v>1</v>
      </c>
      <c r="F1202" s="17"/>
    </row>
    <row r="1203" spans="1:9" ht="25.5" customHeight="1" x14ac:dyDescent="0.2">
      <c r="A1203" s="27">
        <v>1201</v>
      </c>
      <c r="B1203" s="29">
        <v>7076551</v>
      </c>
      <c r="C1203" s="29" t="str">
        <f ca="1">IFERROR(__xludf.DUMMYFUNCTION("GOOGLETRANSLATE(C4943,""en"",""hr"")"),"Guma")</f>
        <v>Guma</v>
      </c>
      <c r="D1203" s="28" t="s">
        <v>11</v>
      </c>
      <c r="E1203" s="29">
        <v>1</v>
      </c>
      <c r="F1203" s="17"/>
    </row>
    <row r="1204" spans="1:9" ht="25.5" customHeight="1" x14ac:dyDescent="0.2">
      <c r="A1204" s="27">
        <v>1202</v>
      </c>
      <c r="B1204" s="29">
        <v>7076594</v>
      </c>
      <c r="C1204" s="29" t="str">
        <f ca="1">IFERROR(__xludf.DUMMYFUNCTION("GOOGLETRANSLATE(C4942,""en"",""hr"")"),"Držač")</f>
        <v>Držač</v>
      </c>
      <c r="D1204" s="28" t="s">
        <v>11</v>
      </c>
      <c r="E1204" s="29">
        <v>1</v>
      </c>
      <c r="F1204" s="17"/>
    </row>
    <row r="1205" spans="1:9" ht="25.5" customHeight="1" x14ac:dyDescent="0.2">
      <c r="A1205" s="27">
        <v>1203</v>
      </c>
      <c r="B1205" s="29">
        <v>7076595</v>
      </c>
      <c r="C1205" s="29" t="str">
        <f ca="1">IFERROR(__xludf.DUMMYFUNCTION("GOOGLETRANSLATE(C3495,""en"",""hr"")"),"Ploča, guma")</f>
        <v>Ploča, guma</v>
      </c>
      <c r="D1205" s="28" t="s">
        <v>11</v>
      </c>
      <c r="E1205" s="29">
        <v>1</v>
      </c>
      <c r="F1205" s="17"/>
    </row>
    <row r="1206" spans="1:9" ht="25.5" customHeight="1" x14ac:dyDescent="0.2">
      <c r="A1206" s="27">
        <v>1204</v>
      </c>
      <c r="B1206" s="29">
        <v>7076596</v>
      </c>
      <c r="C1206" s="29" t="str">
        <f ca="1">IFERROR(__xludf.DUMMYFUNCTION("GOOGLETRANSLATE(C3496,""en"",""hr"")"),"Gumeni nosač")</f>
        <v>Gumeni nosač</v>
      </c>
      <c r="D1206" s="28" t="s">
        <v>11</v>
      </c>
      <c r="E1206" s="29">
        <v>1</v>
      </c>
      <c r="F1206" s="17"/>
    </row>
    <row r="1207" spans="1:9" ht="25.5" customHeight="1" x14ac:dyDescent="0.2">
      <c r="A1207" s="27">
        <v>1205</v>
      </c>
      <c r="B1207" s="29">
        <v>7076597</v>
      </c>
      <c r="C1207" s="29" t="str">
        <f ca="1">IFERROR(__xludf.DUMMYFUNCTION("GOOGLETRANSLATE(C3493,""en"",""hr"")"),"Gumeni nosač")</f>
        <v>Gumeni nosač</v>
      </c>
      <c r="D1207" s="28" t="s">
        <v>11</v>
      </c>
      <c r="E1207" s="29">
        <v>1</v>
      </c>
      <c r="F1207" s="17"/>
    </row>
    <row r="1208" spans="1:9" ht="25.5" customHeight="1" x14ac:dyDescent="0.2">
      <c r="A1208" s="27">
        <v>1206</v>
      </c>
      <c r="B1208" s="29">
        <v>7076598</v>
      </c>
      <c r="C1208" s="29" t="str">
        <f ca="1">IFERROR(__xludf.DUMMYFUNCTION("GOOGLETRANSLATE(C3494,""en"",""hr"")"),"Gumeni nosač")</f>
        <v>Gumeni nosač</v>
      </c>
      <c r="D1208" s="28" t="s">
        <v>11</v>
      </c>
      <c r="E1208" s="29">
        <v>1</v>
      </c>
      <c r="F1208" s="17"/>
    </row>
    <row r="1209" spans="1:9" ht="25.5" customHeight="1" x14ac:dyDescent="0.2">
      <c r="A1209" s="27">
        <v>1207</v>
      </c>
      <c r="B1209" s="29">
        <v>7076618</v>
      </c>
      <c r="C1209" s="29" t="str">
        <f ca="1">IFERROR(__xludf.DUMMYFUNCTION("GOOGLETRANSLATE(C5740,""en"",""hr"")"),"Ploča, guma")</f>
        <v>Ploča, guma</v>
      </c>
      <c r="D1209" s="28" t="s">
        <v>11</v>
      </c>
      <c r="E1209" s="29">
        <v>1</v>
      </c>
      <c r="F1209" s="17"/>
    </row>
    <row r="1210" spans="1:9" ht="25.5" customHeight="1" x14ac:dyDescent="0.2">
      <c r="A1210" s="27">
        <v>1208</v>
      </c>
      <c r="B1210" s="29">
        <v>7076619</v>
      </c>
      <c r="C1210" s="29" t="str">
        <f ca="1">IFERROR(__xludf.DUMMYFUNCTION("GOOGLETRANSLATE(C5741,""en"",""hr"")"),"Ploča, guma")</f>
        <v>Ploča, guma</v>
      </c>
      <c r="D1210" s="28" t="s">
        <v>11</v>
      </c>
      <c r="E1210" s="29">
        <v>1</v>
      </c>
      <c r="F1210" s="17"/>
    </row>
    <row r="1211" spans="1:9" ht="25.5" customHeight="1" x14ac:dyDescent="0.2">
      <c r="A1211" s="27">
        <v>1209</v>
      </c>
      <c r="B1211" s="29">
        <v>7076620</v>
      </c>
      <c r="C1211" s="29" t="str">
        <f ca="1">IFERROR(__xludf.DUMMYFUNCTION("GOOGLETRANSLATE(C5742,""en"",""hr"")"),"Ploča, guma")</f>
        <v>Ploča, guma</v>
      </c>
      <c r="D1211" s="28" t="s">
        <v>11</v>
      </c>
      <c r="E1211" s="29">
        <v>1</v>
      </c>
      <c r="F1211" s="17"/>
    </row>
    <row r="1212" spans="1:9" ht="25.5" customHeight="1" x14ac:dyDescent="0.2">
      <c r="A1212" s="27">
        <v>1210</v>
      </c>
      <c r="B1212" s="29">
        <v>7076621</v>
      </c>
      <c r="C1212" s="29" t="str">
        <f ca="1">IFERROR(__xludf.DUMMYFUNCTION("GOOGLETRANSLATE(C5746,""en"",""hr"")"),"Ploča, guma")</f>
        <v>Ploča, guma</v>
      </c>
      <c r="D1212" s="28" t="s">
        <v>11</v>
      </c>
      <c r="E1212" s="29">
        <v>1</v>
      </c>
      <c r="F1212" s="17"/>
    </row>
    <row r="1213" spans="1:9" ht="25.5" customHeight="1" x14ac:dyDescent="0.2">
      <c r="A1213" s="27">
        <v>1211</v>
      </c>
      <c r="B1213" s="29">
        <v>7076625</v>
      </c>
      <c r="C1213" s="29" t="str">
        <f ca="1">IFERROR(__xludf.DUMMYFUNCTION("GOOGLETRANSLATE(C5218,""en"",""hr"")"),"Razmakni grm")</f>
        <v>Razmakni grm</v>
      </c>
      <c r="D1213" s="28" t="s">
        <v>11</v>
      </c>
      <c r="E1213" s="29">
        <v>1</v>
      </c>
      <c r="F1213" s="17"/>
    </row>
    <row r="1214" spans="1:9" ht="25.5" customHeight="1" x14ac:dyDescent="0.2">
      <c r="A1214" s="27">
        <v>1212</v>
      </c>
      <c r="B1214" s="29">
        <v>7076644</v>
      </c>
      <c r="C1214" s="29" t="str">
        <f ca="1">IFERROR(__xludf.DUMMYFUNCTION("GOOGLETRANSLATE(C4944,""en"",""hr"")"),"Perilica")</f>
        <v>Perilica</v>
      </c>
      <c r="D1214" s="28" t="s">
        <v>11</v>
      </c>
      <c r="E1214" s="29">
        <v>1</v>
      </c>
      <c r="F1214" s="17"/>
    </row>
    <row r="1215" spans="1:9" ht="25.5" customHeight="1" x14ac:dyDescent="0.2">
      <c r="A1215" s="27">
        <v>1213</v>
      </c>
      <c r="B1215" s="29">
        <v>7076645</v>
      </c>
      <c r="C1215" s="29" t="str">
        <f ca="1">IFERROR(__xludf.DUMMYFUNCTION("GOOGLETRANSLATE(C4946,""en"",""hr"")"),"Mehanizam za preklapanje")</f>
        <v>Mehanizam za preklapanje</v>
      </c>
      <c r="D1215" s="28" t="s">
        <v>11</v>
      </c>
      <c r="E1215" s="29">
        <v>1</v>
      </c>
      <c r="F1215" s="17"/>
      <c r="I1215" s="4" t="b">
        <f>INT(F1213*100)=(F1213*100)</f>
        <v>1</v>
      </c>
    </row>
    <row r="1216" spans="1:9" ht="25.5" customHeight="1" x14ac:dyDescent="0.2">
      <c r="A1216" s="27">
        <v>1214</v>
      </c>
      <c r="B1216" s="29">
        <v>7076656</v>
      </c>
      <c r="C1216" s="29" t="str">
        <f ca="1">IFERROR(__xludf.DUMMYFUNCTION("GOOGLETRANSLATE(C2394,""en"",""hr"")"),"Čuvar Assy")</f>
        <v>Čuvar Assy</v>
      </c>
      <c r="D1216" s="28" t="s">
        <v>11</v>
      </c>
      <c r="E1216" s="29">
        <v>1</v>
      </c>
      <c r="F1216" s="17"/>
    </row>
    <row r="1217" spans="1:9" ht="25.5" customHeight="1" x14ac:dyDescent="0.2">
      <c r="A1217" s="27">
        <v>1215</v>
      </c>
      <c r="B1217" s="29">
        <v>7076680</v>
      </c>
      <c r="C1217" s="29" t="str">
        <f ca="1">IFERROR(__xludf.DUMMYFUNCTION("GOOGLETRANSLATE(C3861,""en"",""hr"")"),"Držač koplja kpl.")</f>
        <v>Držač koplja kpl.</v>
      </c>
      <c r="D1217" s="28" t="s">
        <v>11</v>
      </c>
      <c r="E1217" s="29">
        <v>1</v>
      </c>
      <c r="F1217" s="17"/>
    </row>
    <row r="1218" spans="1:9" ht="25.5" customHeight="1" x14ac:dyDescent="0.2">
      <c r="A1218" s="27">
        <v>1216</v>
      </c>
      <c r="B1218" s="29">
        <v>7076727</v>
      </c>
      <c r="C1218" s="29" t="str">
        <f ca="1">IFERROR(__xludf.DUMMYFUNCTION("GOOGLETRANSLATE(C6636,""en"",""hr"")"),"Držač LH")</f>
        <v>Držač LH</v>
      </c>
      <c r="D1218" s="28" t="s">
        <v>11</v>
      </c>
      <c r="E1218" s="29">
        <v>1</v>
      </c>
      <c r="F1218" s="17"/>
      <c r="I1218" s="4" t="b">
        <f>INT(F1216*100)=(F1216*100)</f>
        <v>1</v>
      </c>
    </row>
    <row r="1219" spans="1:9" ht="25.5" customHeight="1" x14ac:dyDescent="0.2">
      <c r="A1219" s="27">
        <v>1217</v>
      </c>
      <c r="B1219" s="29">
        <v>7076815</v>
      </c>
      <c r="C1219" s="29" t="str">
        <f ca="1">IFERROR(__xludf.DUMMYFUNCTION("GOOGLETRANSLATE(C4684,""en"",""hr"")"),"Držač")</f>
        <v>Držač</v>
      </c>
      <c r="D1219" s="28" t="s">
        <v>11</v>
      </c>
      <c r="E1219" s="29">
        <v>1</v>
      </c>
      <c r="F1219" s="17"/>
    </row>
    <row r="1220" spans="1:9" ht="25.5" customHeight="1" x14ac:dyDescent="0.2">
      <c r="A1220" s="27">
        <v>1218</v>
      </c>
      <c r="B1220" s="29">
        <v>7076824</v>
      </c>
      <c r="C1220" s="29" t="str">
        <f ca="1">IFERROR(__xludf.DUMMYFUNCTION("GOOGLETRANSLATE(C3678,""en"",""hr"")"),"Držač za vodenu pumpu")</f>
        <v>Držač za vodenu pumpu</v>
      </c>
      <c r="D1220" s="28" t="s">
        <v>11</v>
      </c>
      <c r="E1220" s="29">
        <v>1</v>
      </c>
      <c r="F1220" s="17"/>
    </row>
    <row r="1221" spans="1:9" ht="25.5" customHeight="1" x14ac:dyDescent="0.2">
      <c r="A1221" s="27">
        <v>1219</v>
      </c>
      <c r="B1221" s="29">
        <v>7076825</v>
      </c>
      <c r="C1221" s="29" t="str">
        <f ca="1">IFERROR(__xludf.DUMMYFUNCTION("GOOGLETRANSLATE(C3680,""en"",""hr"")"),"Držač za filter za vodu")</f>
        <v>Držač za filter za vodu</v>
      </c>
      <c r="D1221" s="28" t="s">
        <v>11</v>
      </c>
      <c r="E1221" s="29">
        <v>1</v>
      </c>
      <c r="F1221" s="17"/>
    </row>
    <row r="1222" spans="1:9" ht="25.5" customHeight="1" x14ac:dyDescent="0.2">
      <c r="A1222" s="27">
        <v>1220</v>
      </c>
      <c r="B1222" s="29">
        <v>7076898</v>
      </c>
      <c r="C1222" s="29" t="str">
        <f ca="1">IFERROR(__xludf.DUMMYFUNCTION("GOOGLETRANSLATE(C1557,""en"",""hr"")"),"Ploča za pričvršćivanje")</f>
        <v>Ploča za pričvršćivanje</v>
      </c>
      <c r="D1222" s="28" t="s">
        <v>11</v>
      </c>
      <c r="E1222" s="29">
        <v>1</v>
      </c>
      <c r="F1222" s="17"/>
      <c r="I1222" s="4" t="b">
        <f>INT(F1220*100)=(F1220*100)</f>
        <v>1</v>
      </c>
    </row>
    <row r="1223" spans="1:9" ht="25.5" customHeight="1" x14ac:dyDescent="0.2">
      <c r="A1223" s="27">
        <v>1221</v>
      </c>
      <c r="B1223" s="29">
        <v>7076977</v>
      </c>
      <c r="C1223" s="29" t="str">
        <f ca="1">IFERROR(__xludf.DUMMYFUNCTION("GOOGLETRANSLATE(C1031,""en"",""hr"")"),"Crijevo za punjenje zraka motora hladnjaka")</f>
        <v>Crijevo za punjenje zraka motora hladnjaka</v>
      </c>
      <c r="D1223" s="28" t="s">
        <v>11</v>
      </c>
      <c r="E1223" s="29">
        <v>1</v>
      </c>
      <c r="F1223" s="17"/>
    </row>
    <row r="1224" spans="1:9" ht="25.5" customHeight="1" x14ac:dyDescent="0.2">
      <c r="A1224" s="27">
        <v>1222</v>
      </c>
      <c r="B1224" s="29">
        <v>7076988</v>
      </c>
      <c r="C1224" s="29" t="str">
        <f ca="1">IFERROR(__xludf.DUMMYFUNCTION("GOOGLETRANSLATE(C1868,""en"",""hr"")"),"Oblikovano crijevo")</f>
        <v>Oblikovano crijevo</v>
      </c>
      <c r="D1224" s="28" t="s">
        <v>11</v>
      </c>
      <c r="E1224" s="29">
        <v>1</v>
      </c>
      <c r="F1224" s="17"/>
    </row>
    <row r="1225" spans="1:9" ht="25.5" customHeight="1" x14ac:dyDescent="0.2">
      <c r="A1225" s="27">
        <v>1223</v>
      </c>
      <c r="B1225" s="29">
        <v>7077021</v>
      </c>
      <c r="C1225" s="29" t="str">
        <f ca="1">IFERROR(__xludf.DUMMYFUNCTION("GOOGLETRANSLATE(C1551,""en"",""hr"")"),"Ploča za pričvršćivanje")</f>
        <v>Ploča za pričvršćivanje</v>
      </c>
      <c r="D1225" s="28" t="s">
        <v>11</v>
      </c>
      <c r="E1225" s="29">
        <v>1</v>
      </c>
      <c r="F1225" s="17"/>
    </row>
    <row r="1226" spans="1:9" ht="25.5" customHeight="1" x14ac:dyDescent="0.2">
      <c r="A1226" s="27">
        <v>1224</v>
      </c>
      <c r="B1226" s="29">
        <v>7077045</v>
      </c>
      <c r="C1226" s="29" t="str">
        <f ca="1">IFERROR(__xludf.DUMMYFUNCTION("GOOGLETRANSLATE(C6042,""en"",""hr"")"),"Cijev")</f>
        <v>Cijev</v>
      </c>
      <c r="D1226" s="28" t="s">
        <v>11</v>
      </c>
      <c r="E1226" s="29">
        <v>1</v>
      </c>
      <c r="F1226" s="17"/>
    </row>
    <row r="1227" spans="1:9" ht="25.5" customHeight="1" x14ac:dyDescent="0.2">
      <c r="A1227" s="27">
        <v>1225</v>
      </c>
      <c r="B1227" s="29">
        <v>7077174</v>
      </c>
      <c r="C1227" s="29" t="str">
        <f ca="1">IFERROR(__xludf.DUMMYFUNCTION("GOOGLETRANSLATE(C5774,""en"",""hr"")"),"Prekidač razine")</f>
        <v>Prekidač razine</v>
      </c>
      <c r="D1227" s="28" t="s">
        <v>11</v>
      </c>
      <c r="E1227" s="29">
        <v>1</v>
      </c>
      <c r="F1227" s="17"/>
    </row>
    <row r="1228" spans="1:9" ht="25.5" customHeight="1" x14ac:dyDescent="0.2">
      <c r="A1228" s="27">
        <v>1226</v>
      </c>
      <c r="B1228" s="29">
        <v>7077219</v>
      </c>
      <c r="C1228" s="29" t="str">
        <f ca="1">IFERROR(__xludf.DUMMYFUNCTION("GOOGLETRANSLATE(C1555,""en"",""hr"")"),"Ploča za pričvršćivanje")</f>
        <v>Ploča za pričvršćivanje</v>
      </c>
      <c r="D1228" s="28" t="s">
        <v>11</v>
      </c>
      <c r="E1228" s="29">
        <v>1</v>
      </c>
      <c r="F1228" s="17"/>
    </row>
    <row r="1229" spans="1:9" ht="25.5" customHeight="1" x14ac:dyDescent="0.2">
      <c r="A1229" s="27">
        <v>1227</v>
      </c>
      <c r="B1229" s="29">
        <v>7077283</v>
      </c>
      <c r="C1229" s="29" t="str">
        <f ca="1">IFERROR(__xludf.DUMMYFUNCTION("GOOGLETRANSLATE(C5040,""en"",""hr"")"),"Ploča")</f>
        <v>Ploča</v>
      </c>
      <c r="D1229" s="28" t="s">
        <v>11</v>
      </c>
      <c r="E1229" s="29">
        <v>1</v>
      </c>
      <c r="F1229" s="17"/>
    </row>
    <row r="1230" spans="1:9" ht="25.5" customHeight="1" x14ac:dyDescent="0.2">
      <c r="A1230" s="27">
        <v>1228</v>
      </c>
      <c r="B1230" s="29">
        <v>7077287</v>
      </c>
      <c r="C1230" s="29" t="str">
        <f ca="1">IFERROR(__xludf.DUMMYFUNCTION("GOOGLETRANSLATE(C5039,""en"",""hr"")"),"podrška")</f>
        <v>podrška</v>
      </c>
      <c r="D1230" s="28" t="s">
        <v>11</v>
      </c>
      <c r="E1230" s="29">
        <v>1</v>
      </c>
      <c r="F1230" s="17"/>
    </row>
    <row r="1231" spans="1:9" ht="25.5" customHeight="1" x14ac:dyDescent="0.2">
      <c r="A1231" s="27">
        <v>1229</v>
      </c>
      <c r="B1231" s="29">
        <v>7077328</v>
      </c>
      <c r="C1231" s="29" t="str">
        <f ca="1">IFERROR(__xludf.DUMMYFUNCTION("GOOGLETRANSLATE(C5889,""en"",""hr"")"),"Kontrolni blok")</f>
        <v>Kontrolni blok</v>
      </c>
      <c r="D1231" s="28" t="s">
        <v>11</v>
      </c>
      <c r="E1231" s="29">
        <v>1</v>
      </c>
      <c r="F1231" s="17"/>
    </row>
    <row r="1232" spans="1:9" ht="25.5" customHeight="1" x14ac:dyDescent="0.2">
      <c r="A1232" s="27">
        <v>1230</v>
      </c>
      <c r="B1232" s="29">
        <v>7077329</v>
      </c>
      <c r="C1232" s="29" t="str">
        <f ca="1">IFERROR(__xludf.DUMMYFUNCTION("GOOGLETRANSLATE(C5890,""en"",""hr"")"),"Kontrolni blok")</f>
        <v>Kontrolni blok</v>
      </c>
      <c r="D1232" s="28" t="s">
        <v>11</v>
      </c>
      <c r="E1232" s="29">
        <v>1</v>
      </c>
      <c r="F1232" s="17"/>
    </row>
    <row r="1233" spans="1:9" ht="25.5" customHeight="1" x14ac:dyDescent="0.2">
      <c r="A1233" s="27">
        <v>1231</v>
      </c>
      <c r="B1233" s="29">
        <v>7077337</v>
      </c>
      <c r="C1233" s="29" t="str">
        <f ca="1">IFERROR(__xludf.DUMMYFUNCTION("GOOGLETRANSLATE(C323,""en"",""hr"")"),"Pločasta baterija za zaključavanje 12V")</f>
        <v>Pločasta baterija za zaključavanje 12V</v>
      </c>
      <c r="D1233" s="28" t="s">
        <v>11</v>
      </c>
      <c r="E1233" s="29">
        <v>1</v>
      </c>
      <c r="F1233" s="17"/>
    </row>
    <row r="1234" spans="1:9" ht="25.5" customHeight="1" x14ac:dyDescent="0.2">
      <c r="A1234" s="27">
        <v>1232</v>
      </c>
      <c r="B1234" s="29">
        <v>7077353</v>
      </c>
      <c r="C1234" s="29" t="str">
        <f ca="1">IFERROR(__xludf.DUMMYFUNCTION("GOOGLETRANSLATE(C6470,""en"",""hr"")"),"Ploča za pričvršćivanje")</f>
        <v>Ploča za pričvršćivanje</v>
      </c>
      <c r="D1234" s="28" t="s">
        <v>11</v>
      </c>
      <c r="E1234" s="29">
        <v>1</v>
      </c>
      <c r="F1234" s="17"/>
    </row>
    <row r="1235" spans="1:9" ht="25.5" customHeight="1" x14ac:dyDescent="0.2">
      <c r="A1235" s="27">
        <v>1233</v>
      </c>
      <c r="B1235" s="29">
        <v>7077360</v>
      </c>
      <c r="C1235" s="29" t="str">
        <f ca="1">IFERROR(__xludf.DUMMYFUNCTION("GOOGLETRANSLATE(C5011,""en"",""hr"")"),"Profil")</f>
        <v>Profil</v>
      </c>
      <c r="D1235" s="28" t="s">
        <v>11</v>
      </c>
      <c r="E1235" s="29">
        <v>1</v>
      </c>
      <c r="F1235" s="17"/>
    </row>
    <row r="1236" spans="1:9" ht="25.5" customHeight="1" x14ac:dyDescent="0.2">
      <c r="A1236" s="27">
        <v>1234</v>
      </c>
      <c r="B1236" s="29">
        <v>7077378</v>
      </c>
      <c r="C1236" s="29" t="str">
        <f ca="1">IFERROR(__xludf.DUMMYFUNCTION("GOOGLETRANSLATE(C4195,""en"",""hr"")"),"Držač")</f>
        <v>Držač</v>
      </c>
      <c r="D1236" s="28" t="s">
        <v>11</v>
      </c>
      <c r="E1236" s="29">
        <v>1</v>
      </c>
      <c r="F1236" s="17"/>
    </row>
    <row r="1237" spans="1:9" ht="25.5" customHeight="1" x14ac:dyDescent="0.2">
      <c r="A1237" s="27">
        <v>1235</v>
      </c>
      <c r="B1237" s="29">
        <v>7077410</v>
      </c>
      <c r="C1237" s="29" t="str">
        <f ca="1">IFERROR(__xludf.DUMMYFUNCTION("GOOGLETRANSLATE(C4750,""en"",""hr"")"),"Preklop lijevo bijeli")</f>
        <v>Preklop lijevo bijeli</v>
      </c>
      <c r="D1237" s="28" t="s">
        <v>11</v>
      </c>
      <c r="E1237" s="29">
        <v>1</v>
      </c>
      <c r="F1237" s="17"/>
    </row>
    <row r="1238" spans="1:9" ht="25.5" customHeight="1" x14ac:dyDescent="0.2">
      <c r="A1238" s="27">
        <v>1236</v>
      </c>
      <c r="B1238" s="29">
        <v>7077422</v>
      </c>
      <c r="C1238" s="29" t="str">
        <f ca="1">IFERROR(__xludf.DUMMYFUNCTION("GOOGLETRANSLATE(C4749,""en"",""hr"")"),"Poklopac desni, bijeli")</f>
        <v>Poklopac desni, bijeli</v>
      </c>
      <c r="D1238" s="28" t="s">
        <v>11</v>
      </c>
      <c r="E1238" s="29">
        <v>1</v>
      </c>
      <c r="F1238" s="17"/>
    </row>
    <row r="1239" spans="1:9" ht="25.5" customHeight="1" x14ac:dyDescent="0.2">
      <c r="A1239" s="27">
        <v>1237</v>
      </c>
      <c r="B1239" s="29">
        <v>7077527</v>
      </c>
      <c r="C1239" s="29" t="str">
        <f ca="1">IFERROR(__xludf.DUMMYFUNCTION("GOOGLETRANSLATE(C6770,""en"",""hr"")"),"Ljepljiva ploča")</f>
        <v>Ljepljiva ploča</v>
      </c>
      <c r="D1239" s="28" t="s">
        <v>11</v>
      </c>
      <c r="E1239" s="29">
        <v>1</v>
      </c>
      <c r="F1239" s="17"/>
    </row>
    <row r="1240" spans="1:9" ht="25.5" customHeight="1" x14ac:dyDescent="0.2">
      <c r="A1240" s="27">
        <v>1238</v>
      </c>
      <c r="B1240" s="29">
        <v>7077546</v>
      </c>
      <c r="C1240" s="29" t="str">
        <f ca="1">IFERROR(__xludf.DUMMYFUNCTION("GOOGLETRANSLATE(C414,""en"",""hr"")"),"Poklopac stezaljke")</f>
        <v>Poklopac stezaljke</v>
      </c>
      <c r="D1240" s="28" t="s">
        <v>11</v>
      </c>
      <c r="E1240" s="29">
        <v>1</v>
      </c>
      <c r="F1240" s="17"/>
      <c r="I1240" s="4" t="b">
        <f>INT(F1238*100)=(F1238*100)</f>
        <v>1</v>
      </c>
    </row>
    <row r="1241" spans="1:9" ht="25.5" customHeight="1" x14ac:dyDescent="0.2">
      <c r="A1241" s="27">
        <v>1239</v>
      </c>
      <c r="B1241" s="29">
        <v>7077547</v>
      </c>
      <c r="C1241" s="29" t="str">
        <f ca="1">IFERROR(__xludf.DUMMYFUNCTION("GOOGLETRANSLATE(C4826,""en"",""hr"")"),"Poklopac, bijeli")</f>
        <v>Poklopac, bijeli</v>
      </c>
      <c r="D1241" s="28" t="s">
        <v>11</v>
      </c>
      <c r="E1241" s="29">
        <v>1</v>
      </c>
      <c r="F1241" s="17"/>
    </row>
    <row r="1242" spans="1:9" ht="25.5" customHeight="1" x14ac:dyDescent="0.2">
      <c r="A1242" s="27">
        <v>1240</v>
      </c>
      <c r="B1242" s="29">
        <v>7077553</v>
      </c>
      <c r="C1242" s="29" t="str">
        <f ca="1">IFERROR(__xludf.DUMMYFUNCTION("GOOGLETRANSLATE(C4823,""en"",""hr"")"),"Poklopac, bijeli")</f>
        <v>Poklopac, bijeli</v>
      </c>
      <c r="D1242" s="28" t="s">
        <v>11</v>
      </c>
      <c r="E1242" s="29">
        <v>1</v>
      </c>
      <c r="F1242" s="17"/>
    </row>
    <row r="1243" spans="1:9" ht="25.5" customHeight="1" x14ac:dyDescent="0.2">
      <c r="A1243" s="27">
        <v>1241</v>
      </c>
      <c r="B1243" s="29">
        <v>7077554</v>
      </c>
      <c r="C1243" s="29" t="str">
        <f ca="1">IFERROR(__xludf.DUMMYFUNCTION("GOOGLETRANSLATE(C5855,""en"",""hr"")"),"Cijev")</f>
        <v>Cijev</v>
      </c>
      <c r="D1243" s="28" t="s">
        <v>11</v>
      </c>
      <c r="E1243" s="29">
        <v>1</v>
      </c>
      <c r="F1243" s="17"/>
      <c r="I1243" s="4" t="b">
        <f>INT(F1241*100)=(F1241*100)</f>
        <v>1</v>
      </c>
    </row>
    <row r="1244" spans="1:9" ht="25.5" customHeight="1" x14ac:dyDescent="0.2">
      <c r="A1244" s="27">
        <v>1242</v>
      </c>
      <c r="B1244" s="29">
        <v>7077559</v>
      </c>
      <c r="C1244" s="29" t="str">
        <f ca="1">IFERROR(__xludf.DUMMYFUNCTION("GOOGLETRANSLATE(C5853,""en"",""hr"")"),"Usisni filter")</f>
        <v>Usisni filter</v>
      </c>
      <c r="D1244" s="28" t="s">
        <v>11</v>
      </c>
      <c r="E1244" s="29">
        <v>1</v>
      </c>
      <c r="F1244" s="17"/>
    </row>
    <row r="1245" spans="1:9" ht="25.5" customHeight="1" x14ac:dyDescent="0.2">
      <c r="A1245" s="27">
        <v>1243</v>
      </c>
      <c r="B1245" s="29">
        <v>7077564</v>
      </c>
      <c r="C1245" s="29" t="str">
        <f ca="1">IFERROR(__xludf.DUMMYFUNCTION("GOOGLETRANSLATE(C4874,""en"",""hr"")"),"Poklopac, bijeli")</f>
        <v>Poklopac, bijeli</v>
      </c>
      <c r="D1245" s="28" t="s">
        <v>11</v>
      </c>
      <c r="E1245" s="29">
        <v>1</v>
      </c>
      <c r="F1245" s="17"/>
    </row>
    <row r="1246" spans="1:9" ht="25.5" customHeight="1" x14ac:dyDescent="0.2">
      <c r="A1246" s="27">
        <v>1244</v>
      </c>
      <c r="B1246" s="29">
        <v>7077569</v>
      </c>
      <c r="C1246" s="29" t="str">
        <f ca="1">IFERROR(__xludf.DUMMYFUNCTION("GOOGLETRANSLATE(C4872,""en"",""hr"")"),"Zaštita, bijela")</f>
        <v>Zaštita, bijela</v>
      </c>
      <c r="D1246" s="28" t="s">
        <v>11</v>
      </c>
      <c r="E1246" s="29">
        <v>1</v>
      </c>
      <c r="F1246" s="17"/>
    </row>
    <row r="1247" spans="1:9" ht="25.5" customHeight="1" x14ac:dyDescent="0.2">
      <c r="A1247" s="27">
        <v>1245</v>
      </c>
      <c r="B1247" s="29">
        <v>7077570</v>
      </c>
      <c r="C1247" s="29" t="str">
        <f ca="1">IFERROR(__xludf.DUMMYFUNCTION("GOOGLETRANSLATE(C5808,""en"",""hr"")"),"Usisni filter")</f>
        <v>Usisni filter</v>
      </c>
      <c r="D1247" s="28" t="s">
        <v>11</v>
      </c>
      <c r="E1247" s="29">
        <v>1</v>
      </c>
      <c r="F1247" s="17"/>
      <c r="I1247" s="4" t="b">
        <f>INT(F1245*100)=(F1245*100)</f>
        <v>1</v>
      </c>
    </row>
    <row r="1248" spans="1:9" ht="25.5" customHeight="1" x14ac:dyDescent="0.2">
      <c r="A1248" s="27">
        <v>1246</v>
      </c>
      <c r="B1248" s="29">
        <v>7077617</v>
      </c>
      <c r="C1248" s="29" t="str">
        <f ca="1">IFERROR(__xludf.DUMMYFUNCTION("GOOGLETRANSLATE(C6236,""en"",""hr"")"),"Crijevo")</f>
        <v>Crijevo</v>
      </c>
      <c r="D1248" s="28" t="s">
        <v>11</v>
      </c>
      <c r="E1248" s="29">
        <v>1</v>
      </c>
      <c r="F1248" s="17"/>
    </row>
    <row r="1249" spans="1:6" ht="25.5" customHeight="1" x14ac:dyDescent="0.2">
      <c r="A1249" s="27">
        <v>1247</v>
      </c>
      <c r="B1249" s="29">
        <v>7077656</v>
      </c>
      <c r="C1249" s="29" t="str">
        <f ca="1">IFERROR(__xludf.DUMMYFUNCTION("GOOGLETRANSLATE(C4873,""en"",""hr"")"),"Poklopac, bijeli")</f>
        <v>Poklopac, bijeli</v>
      </c>
      <c r="D1249" s="28" t="s">
        <v>11</v>
      </c>
      <c r="E1249" s="29">
        <v>1</v>
      </c>
      <c r="F1249" s="17"/>
    </row>
    <row r="1250" spans="1:6" ht="25.5" customHeight="1" x14ac:dyDescent="0.2">
      <c r="A1250" s="27">
        <v>1248</v>
      </c>
      <c r="B1250" s="29">
        <v>7077701</v>
      </c>
      <c r="C1250" s="29" t="str">
        <f ca="1">IFERROR(__xludf.DUMMYFUNCTION("GOOGLETRANSLATE(C4439,""en"",""hr"")"),"Držač")</f>
        <v>Držač</v>
      </c>
      <c r="D1250" s="28" t="s">
        <v>11</v>
      </c>
      <c r="E1250" s="29">
        <v>1</v>
      </c>
      <c r="F1250" s="17"/>
    </row>
    <row r="1251" spans="1:6" ht="25.5" customHeight="1" x14ac:dyDescent="0.2">
      <c r="A1251" s="27">
        <v>1249</v>
      </c>
      <c r="B1251" s="29">
        <v>7077730</v>
      </c>
      <c r="C1251" s="29" t="str">
        <f ca="1">IFERROR(__xludf.DUMMYFUNCTION("GOOGLETRANSLATE(C4804,""en"",""hr"")"),"Poklopac, bijeli")</f>
        <v>Poklopac, bijeli</v>
      </c>
      <c r="D1251" s="28" t="s">
        <v>11</v>
      </c>
      <c r="E1251" s="29">
        <v>1</v>
      </c>
      <c r="F1251" s="17"/>
    </row>
    <row r="1252" spans="1:6" ht="25.5" customHeight="1" x14ac:dyDescent="0.2">
      <c r="A1252" s="27">
        <v>1250</v>
      </c>
      <c r="B1252" s="29">
        <v>7077732</v>
      </c>
      <c r="C1252" s="29" t="str">
        <f ca="1">IFERROR(__xludf.DUMMYFUNCTION("GOOGLETRANSLATE(C4795,""en"",""hr"")"),"Prednji poklopac bijeli")</f>
        <v>Prednji poklopac bijeli</v>
      </c>
      <c r="D1252" s="28" t="s">
        <v>11</v>
      </c>
      <c r="E1252" s="29">
        <v>1</v>
      </c>
      <c r="F1252" s="17"/>
    </row>
    <row r="1253" spans="1:6" ht="25.5" customHeight="1" x14ac:dyDescent="0.2">
      <c r="A1253" s="27">
        <v>1251</v>
      </c>
      <c r="B1253" s="29">
        <v>7077736</v>
      </c>
      <c r="C1253" s="29" t="str">
        <f ca="1">IFERROR(__xludf.DUMMYFUNCTION("GOOGLETRANSLATE(C4805,""en"",""hr"")"),"Poklopac, bijeli")</f>
        <v>Poklopac, bijeli</v>
      </c>
      <c r="D1253" s="28" t="s">
        <v>11</v>
      </c>
      <c r="E1253" s="29">
        <v>1</v>
      </c>
      <c r="F1253" s="17"/>
    </row>
    <row r="1254" spans="1:6" ht="25.5" customHeight="1" x14ac:dyDescent="0.2">
      <c r="A1254" s="27">
        <v>1252</v>
      </c>
      <c r="B1254" s="29">
        <v>7077761</v>
      </c>
      <c r="C1254" s="29" t="str">
        <f ca="1">IFERROR(__xludf.DUMMYFUNCTION("GOOGLETRANSLATE(C4440,""en"",""hr"")"),"Držač lijevi")</f>
        <v>Držač lijevi</v>
      </c>
      <c r="D1254" s="28" t="s">
        <v>11</v>
      </c>
      <c r="E1254" s="29">
        <v>1</v>
      </c>
      <c r="F1254" s="17"/>
    </row>
    <row r="1255" spans="1:6" ht="25.5" customHeight="1" x14ac:dyDescent="0.2">
      <c r="A1255" s="27">
        <v>1253</v>
      </c>
      <c r="B1255" s="29">
        <v>7077762</v>
      </c>
      <c r="C1255" s="29" t="str">
        <f ca="1">IFERROR(__xludf.DUMMYFUNCTION("GOOGLETRANSLATE(C4434,""en"",""hr"")"),"Držač desni")</f>
        <v>Držač desni</v>
      </c>
      <c r="D1255" s="28" t="s">
        <v>11</v>
      </c>
      <c r="E1255" s="29">
        <v>1</v>
      </c>
      <c r="F1255" s="17"/>
    </row>
    <row r="1256" spans="1:6" ht="25.5" customHeight="1" x14ac:dyDescent="0.2">
      <c r="A1256" s="27">
        <v>1254</v>
      </c>
      <c r="B1256" s="29">
        <v>7077962</v>
      </c>
      <c r="C1256" s="29" t="str">
        <f ca="1">IFERROR(__xludf.DUMMYFUNCTION("GOOGLETRANSLATE(C316,""en"",""hr"")"),"Držač")</f>
        <v>Držač</v>
      </c>
      <c r="D1256" s="28" t="s">
        <v>11</v>
      </c>
      <c r="E1256" s="29">
        <v>1</v>
      </c>
      <c r="F1256" s="17"/>
    </row>
    <row r="1257" spans="1:6" ht="25.5" customHeight="1" x14ac:dyDescent="0.2">
      <c r="A1257" s="27">
        <v>1255</v>
      </c>
      <c r="B1257" s="29">
        <v>7078246</v>
      </c>
      <c r="C1257" s="29" t="str">
        <f ca="1">IFERROR(__xludf.DUMMYFUNCTION("GOOGLETRANSLATE(C3389,""en"",""hr"")"),"Okvir")</f>
        <v>Okvir</v>
      </c>
      <c r="D1257" s="28" t="s">
        <v>11</v>
      </c>
      <c r="E1257" s="29">
        <v>1</v>
      </c>
      <c r="F1257" s="17"/>
    </row>
    <row r="1258" spans="1:6" ht="25.5" customHeight="1" x14ac:dyDescent="0.2">
      <c r="A1258" s="27">
        <v>1256</v>
      </c>
      <c r="B1258" s="29">
        <v>7078255</v>
      </c>
      <c r="C1258" s="29" t="str">
        <f ca="1">IFERROR(__xludf.DUMMYFUNCTION("GOOGLETRANSLATE(C3390,""en"",""hr"")"),"Držač")</f>
        <v>Držač</v>
      </c>
      <c r="D1258" s="28" t="s">
        <v>11</v>
      </c>
      <c r="E1258" s="29">
        <v>1</v>
      </c>
      <c r="F1258" s="17"/>
    </row>
    <row r="1259" spans="1:6" ht="25.5" customHeight="1" x14ac:dyDescent="0.2">
      <c r="A1259" s="27">
        <v>1257</v>
      </c>
      <c r="B1259" s="29">
        <v>7078289</v>
      </c>
      <c r="C1259" s="29" t="str">
        <f ca="1">IFERROR(__xludf.DUMMYFUNCTION("GOOGLETRANSLATE(C6264,""en"",""hr"")"),"Kabelski svežanj (+CA-F)")</f>
        <v>Kabelski svežanj (+CA-F)</v>
      </c>
      <c r="D1259" s="28" t="s">
        <v>11</v>
      </c>
      <c r="E1259" s="29">
        <v>1</v>
      </c>
      <c r="F1259" s="17"/>
    </row>
    <row r="1260" spans="1:6" ht="25.5" customHeight="1" x14ac:dyDescent="0.2">
      <c r="A1260" s="27">
        <v>1258</v>
      </c>
      <c r="B1260" s="29">
        <v>7078313</v>
      </c>
      <c r="C1260" s="29" t="str">
        <f ca="1">IFERROR(__xludf.DUMMYFUNCTION("GOOGLETRANSLATE(C3388,""en"",""hr"")"),"Držač")</f>
        <v>Držač</v>
      </c>
      <c r="D1260" s="28" t="s">
        <v>11</v>
      </c>
      <c r="E1260" s="29">
        <v>1</v>
      </c>
      <c r="F1260" s="17"/>
    </row>
    <row r="1261" spans="1:6" ht="25.5" customHeight="1" x14ac:dyDescent="0.2">
      <c r="A1261" s="27">
        <v>1259</v>
      </c>
      <c r="B1261" s="29">
        <v>7078346</v>
      </c>
      <c r="C1261" s="29" t="str">
        <f ca="1">IFERROR(__xludf.DUMMYFUNCTION("GOOGLETRANSLATE(C3391,""en"",""hr"")"),"Čahura")</f>
        <v>Čahura</v>
      </c>
      <c r="D1261" s="28" t="s">
        <v>11</v>
      </c>
      <c r="E1261" s="29">
        <v>1</v>
      </c>
      <c r="F1261" s="17"/>
    </row>
    <row r="1262" spans="1:6" ht="25.5" customHeight="1" x14ac:dyDescent="0.2">
      <c r="A1262" s="27">
        <v>1260</v>
      </c>
      <c r="B1262" s="29">
        <v>7078363</v>
      </c>
      <c r="C1262" s="29" t="str">
        <f ca="1">IFERROR(__xludf.DUMMYFUNCTION("GOOGLETRANSLATE(C4703,""en"",""hr"")"),"Ploča za pakiranje")</f>
        <v>Ploča za pakiranje</v>
      </c>
      <c r="D1262" s="28" t="s">
        <v>11</v>
      </c>
      <c r="E1262" s="29">
        <v>1</v>
      </c>
      <c r="F1262" s="17"/>
    </row>
    <row r="1263" spans="1:6" ht="25.5" customHeight="1" x14ac:dyDescent="0.2">
      <c r="A1263" s="27">
        <v>1261</v>
      </c>
      <c r="B1263" s="29">
        <v>7078397</v>
      </c>
      <c r="C1263" s="29" t="str">
        <f ca="1">IFERROR(__xludf.DUMMYFUNCTION("GOOGLETRANSLATE(C415,""en"",""hr"")"),"Srednji grm")</f>
        <v>Srednji grm</v>
      </c>
      <c r="D1263" s="28" t="s">
        <v>11</v>
      </c>
      <c r="E1263" s="29">
        <v>1</v>
      </c>
      <c r="F1263" s="17"/>
    </row>
    <row r="1264" spans="1:6" ht="25.5" customHeight="1" x14ac:dyDescent="0.2">
      <c r="A1264" s="27">
        <v>1262</v>
      </c>
      <c r="B1264" s="29">
        <v>7078447</v>
      </c>
      <c r="C1264" s="29" t="str">
        <f ca="1">IFERROR(__xludf.DUMMYFUNCTION("GOOGLETRANSLATE(C4702,""en"",""hr"")"),"Pokrivač, bijeli")</f>
        <v>Pokrivač, bijeli</v>
      </c>
      <c r="D1264" s="28" t="s">
        <v>11</v>
      </c>
      <c r="E1264" s="29">
        <v>1</v>
      </c>
      <c r="F1264" s="17"/>
    </row>
    <row r="1265" spans="1:9" ht="25.5" customHeight="1" x14ac:dyDescent="0.2">
      <c r="A1265" s="27">
        <v>1263</v>
      </c>
      <c r="B1265" s="29">
        <v>7078450</v>
      </c>
      <c r="C1265" s="29" t="str">
        <f ca="1">IFERROR(__xludf.DUMMYFUNCTION("GOOGLETRANSLATE(C4700,""en"",""hr"")"),"Pokrivač, bijeli")</f>
        <v>Pokrivač, bijeli</v>
      </c>
      <c r="D1265" s="28" t="s">
        <v>11</v>
      </c>
      <c r="E1265" s="29">
        <v>1</v>
      </c>
      <c r="F1265" s="17"/>
    </row>
    <row r="1266" spans="1:9" ht="25.5" customHeight="1" x14ac:dyDescent="0.2">
      <c r="A1266" s="27">
        <v>1264</v>
      </c>
      <c r="B1266" s="29">
        <v>7078452</v>
      </c>
      <c r="C1266" s="29" t="str">
        <f ca="1">IFERROR(__xludf.DUMMYFUNCTION("GOOGLETRANSLATE(C4695,""en"",""hr"")"),"Bijela stražnja oplata")</f>
        <v>Bijela stražnja oplata</v>
      </c>
      <c r="D1266" s="28" t="s">
        <v>11</v>
      </c>
      <c r="E1266" s="29">
        <v>1</v>
      </c>
      <c r="F1266" s="17"/>
      <c r="I1266" s="4" t="b">
        <f>INT(F1264*100)=(F1264*100)</f>
        <v>1</v>
      </c>
    </row>
    <row r="1267" spans="1:9" ht="25.5" customHeight="1" x14ac:dyDescent="0.2">
      <c r="A1267" s="27">
        <v>1265</v>
      </c>
      <c r="B1267" s="29">
        <v>7078476</v>
      </c>
      <c r="C1267" s="29" t="str">
        <f ca="1">IFERROR(__xludf.DUMMYFUNCTION("GOOGLETRANSLATE(C4197,""en"",""hr"")"),"Držač koplja kpl.")</f>
        <v>Držač koplja kpl.</v>
      </c>
      <c r="D1267" s="28" t="s">
        <v>11</v>
      </c>
      <c r="E1267" s="29">
        <v>1</v>
      </c>
      <c r="F1267" s="17"/>
    </row>
    <row r="1268" spans="1:9" ht="25.5" customHeight="1" x14ac:dyDescent="0.2">
      <c r="A1268" s="27">
        <v>1266</v>
      </c>
      <c r="B1268" s="29">
        <v>7078494</v>
      </c>
      <c r="C1268" s="29" t="str">
        <f ca="1">IFERROR(__xludf.DUMMYFUNCTION("GOOGLETRANSLATE(C4871,""en"",""hr"")"),"Zaštita, bijela")</f>
        <v>Zaštita, bijela</v>
      </c>
      <c r="D1268" s="28" t="s">
        <v>11</v>
      </c>
      <c r="E1268" s="29">
        <v>1</v>
      </c>
      <c r="F1268" s="17"/>
    </row>
    <row r="1269" spans="1:9" ht="25.5" customHeight="1" x14ac:dyDescent="0.2">
      <c r="A1269" s="27">
        <v>1267</v>
      </c>
      <c r="B1269" s="29">
        <v>7078518</v>
      </c>
      <c r="C1269" s="29" t="str">
        <f ca="1">IFERROR(__xludf.DUMMYFUNCTION("GOOGLETRANSLATE(C4692,""en"",""hr"")"),"Zaštita")</f>
        <v>Zaštita</v>
      </c>
      <c r="D1269" s="28" t="s">
        <v>11</v>
      </c>
      <c r="E1269" s="29">
        <v>1</v>
      </c>
      <c r="F1269" s="17"/>
      <c r="I1269" s="4" t="b">
        <f>INT(F1267*100)=(F1267*100)</f>
        <v>1</v>
      </c>
    </row>
    <row r="1270" spans="1:9" ht="25.5" customHeight="1" x14ac:dyDescent="0.2">
      <c r="A1270" s="27">
        <v>1268</v>
      </c>
      <c r="B1270" s="29">
        <v>7078520</v>
      </c>
      <c r="C1270" s="29" t="str">
        <f ca="1">IFERROR(__xludf.DUMMYFUNCTION("GOOGLETRANSLATE(C4690,""en"",""hr"")"),"Zaštita")</f>
        <v>Zaštita</v>
      </c>
      <c r="D1270" s="28" t="s">
        <v>11</v>
      </c>
      <c r="E1270" s="29">
        <v>1</v>
      </c>
      <c r="F1270" s="17"/>
    </row>
    <row r="1271" spans="1:9" ht="25.5" customHeight="1" x14ac:dyDescent="0.2">
      <c r="A1271" s="27">
        <v>1269</v>
      </c>
      <c r="B1271" s="29">
        <v>7078537</v>
      </c>
      <c r="C1271" s="29" t="str">
        <f ca="1">IFERROR(__xludf.DUMMYFUNCTION("GOOGLETRANSLATE(C5485,""en"",""hr"")"),"Okvir")</f>
        <v>Okvir</v>
      </c>
      <c r="D1271" s="28" t="s">
        <v>11</v>
      </c>
      <c r="E1271" s="29">
        <v>1</v>
      </c>
      <c r="F1271" s="17"/>
    </row>
    <row r="1272" spans="1:9" ht="25.5" customHeight="1" x14ac:dyDescent="0.2">
      <c r="A1272" s="27">
        <v>1270</v>
      </c>
      <c r="B1272" s="29">
        <v>7078546</v>
      </c>
      <c r="C1272" s="29" t="str">
        <f ca="1">IFERROR(__xludf.DUMMYFUNCTION("GOOGLETRANSLATE(C4806,""en"",""hr"")"),"Držač")</f>
        <v>Držač</v>
      </c>
      <c r="D1272" s="28" t="s">
        <v>11</v>
      </c>
      <c r="E1272" s="29">
        <v>1</v>
      </c>
      <c r="F1272" s="17"/>
    </row>
    <row r="1273" spans="1:9" ht="25.5" customHeight="1" x14ac:dyDescent="0.2">
      <c r="A1273" s="27">
        <v>1271</v>
      </c>
      <c r="B1273" s="29">
        <v>7078547</v>
      </c>
      <c r="C1273" s="29" t="str">
        <f ca="1">IFERROR(__xludf.DUMMYFUNCTION("GOOGLETRANSLATE(C4803,""en"",""hr"")"),"Držač")</f>
        <v>Držač</v>
      </c>
      <c r="D1273" s="28" t="s">
        <v>11</v>
      </c>
      <c r="E1273" s="29">
        <v>1</v>
      </c>
      <c r="F1273" s="17"/>
      <c r="I1273" s="4" t="b">
        <f>INT(F1271*100)=(F1271*100)</f>
        <v>1</v>
      </c>
    </row>
    <row r="1274" spans="1:9" ht="25.5" customHeight="1" x14ac:dyDescent="0.2">
      <c r="A1274" s="27">
        <v>1272</v>
      </c>
      <c r="B1274" s="29">
        <v>7078552</v>
      </c>
      <c r="C1274" s="29" t="str">
        <f ca="1">IFERROR(__xludf.DUMMYFUNCTION("GOOGLETRANSLATE(C4807,""en"",""hr"")"),"Držač")</f>
        <v>Držač</v>
      </c>
      <c r="D1274" s="28" t="s">
        <v>11</v>
      </c>
      <c r="E1274" s="29">
        <v>1</v>
      </c>
      <c r="F1274" s="17"/>
    </row>
    <row r="1275" spans="1:9" ht="25.5" customHeight="1" x14ac:dyDescent="0.2">
      <c r="A1275" s="27">
        <v>1273</v>
      </c>
      <c r="B1275" s="29">
        <v>7078553</v>
      </c>
      <c r="C1275" s="29" t="str">
        <f ca="1">IFERROR(__xludf.DUMMYFUNCTION("GOOGLETRANSLATE(C4808,""en"",""hr"")"),"Držač")</f>
        <v>Držač</v>
      </c>
      <c r="D1275" s="28" t="s">
        <v>11</v>
      </c>
      <c r="E1275" s="29">
        <v>1</v>
      </c>
      <c r="F1275" s="17"/>
    </row>
    <row r="1276" spans="1:9" ht="25.5" customHeight="1" x14ac:dyDescent="0.2">
      <c r="A1276" s="27">
        <v>1274</v>
      </c>
      <c r="B1276" s="29">
        <v>7078556</v>
      </c>
      <c r="C1276" s="29" t="str">
        <f ca="1">IFERROR(__xludf.DUMMYFUNCTION("GOOGLETRANSLATE(C355,""en"",""hr"")"),"Kotači 215/75 R16, 4x4, HA, Oniks")</f>
        <v>Kotači 215/75 R16, 4x4, HA, Oniks</v>
      </c>
      <c r="D1276" s="28" t="s">
        <v>11</v>
      </c>
      <c r="E1276" s="29">
        <v>1</v>
      </c>
      <c r="F1276" s="17"/>
    </row>
    <row r="1277" spans="1:9" ht="25.5" customHeight="1" x14ac:dyDescent="0.2">
      <c r="A1277" s="27">
        <v>1275</v>
      </c>
      <c r="B1277" s="29">
        <v>7078557</v>
      </c>
      <c r="C1277" s="29" t="str">
        <f ca="1">IFERROR(__xludf.DUMMYFUNCTION("GOOGLETRANSLATE(C353,""en"",""hr"")"),"Kotač 215/75 R16, 4x4, VA, oniks")</f>
        <v>Kotač 215/75 R16, 4x4, VA, oniks</v>
      </c>
      <c r="D1277" s="28" t="s">
        <v>11</v>
      </c>
      <c r="E1277" s="29">
        <v>1</v>
      </c>
      <c r="F1277" s="17"/>
    </row>
    <row r="1278" spans="1:9" ht="25.5" customHeight="1" x14ac:dyDescent="0.2">
      <c r="A1278" s="27">
        <v>1276</v>
      </c>
      <c r="B1278" s="29">
        <v>7078714</v>
      </c>
      <c r="C1278" s="29" t="str">
        <f ca="1">IFERROR(__xludf.DUMMYFUNCTION("GOOGLETRANSLATE(C4435,""en"",""hr"")"),"Klizač")</f>
        <v>Klizač</v>
      </c>
      <c r="D1278" s="28" t="s">
        <v>11</v>
      </c>
      <c r="E1278" s="29">
        <v>1</v>
      </c>
      <c r="F1278" s="17"/>
    </row>
    <row r="1279" spans="1:9" ht="25.5" customHeight="1" x14ac:dyDescent="0.2">
      <c r="A1279" s="27">
        <v>1277</v>
      </c>
      <c r="B1279" s="29">
        <v>7079169</v>
      </c>
      <c r="C1279" s="29" t="str">
        <f ca="1">IFERROR(__xludf.DUMMYFUNCTION("GOOGLETRANSLATE(C2062,""en"",""hr"")"),"Cijev, obložena")</f>
        <v>Cijev, obložena</v>
      </c>
      <c r="D1279" s="28" t="s">
        <v>11</v>
      </c>
      <c r="E1279" s="29">
        <v>1</v>
      </c>
      <c r="F1279" s="17"/>
    </row>
    <row r="1280" spans="1:9" ht="25.5" customHeight="1" x14ac:dyDescent="0.2">
      <c r="A1280" s="27">
        <v>1278</v>
      </c>
      <c r="B1280" s="29">
        <v>7079172</v>
      </c>
      <c r="C1280" s="29" t="str">
        <f ca="1">IFERROR(__xludf.DUMMYFUNCTION("GOOGLETRANSLATE(C2147,""en"",""hr"")"),"Cijev, obložena")</f>
        <v>Cijev, obložena</v>
      </c>
      <c r="D1280" s="28" t="s">
        <v>11</v>
      </c>
      <c r="E1280" s="29">
        <v>1</v>
      </c>
      <c r="F1280" s="17"/>
    </row>
    <row r="1281" spans="1:9" ht="25.5" customHeight="1" x14ac:dyDescent="0.2">
      <c r="A1281" s="27">
        <v>1279</v>
      </c>
      <c r="B1281" s="29">
        <v>7079177</v>
      </c>
      <c r="C1281" s="29" t="str">
        <f ca="1">IFERROR(__xludf.DUMMYFUNCTION("GOOGLETRANSLATE(C2150,""en"",""hr"")"),"Cijev, obložena")</f>
        <v>Cijev, obložena</v>
      </c>
      <c r="D1281" s="28" t="s">
        <v>11</v>
      </c>
      <c r="E1281" s="29">
        <v>1</v>
      </c>
      <c r="F1281" s="17"/>
    </row>
    <row r="1282" spans="1:9" ht="25.5" customHeight="1" x14ac:dyDescent="0.2">
      <c r="A1282" s="27">
        <v>1280</v>
      </c>
      <c r="B1282" s="29">
        <v>7079180</v>
      </c>
      <c r="C1282" s="29" t="str">
        <f ca="1">IFERROR(__xludf.DUMMYFUNCTION("GOOGLETRANSLATE(C2180,""en"",""hr"")"),"Cijev, obložena")</f>
        <v>Cijev, obložena</v>
      </c>
      <c r="D1282" s="28" t="s">
        <v>11</v>
      </c>
      <c r="E1282" s="29">
        <v>1</v>
      </c>
      <c r="F1282" s="17"/>
    </row>
    <row r="1283" spans="1:9" ht="25.5" customHeight="1" x14ac:dyDescent="0.2">
      <c r="A1283" s="27">
        <v>1281</v>
      </c>
      <c r="B1283" s="29">
        <v>7079182</v>
      </c>
      <c r="C1283" s="29" t="str">
        <f ca="1">IFERROR(__xludf.DUMMYFUNCTION("GOOGLETRANSLATE(C2181,""en"",""hr"")"),"Cijev, obložena")</f>
        <v>Cijev, obložena</v>
      </c>
      <c r="D1283" s="28" t="s">
        <v>11</v>
      </c>
      <c r="E1283" s="29">
        <v>1</v>
      </c>
      <c r="F1283" s="17"/>
    </row>
    <row r="1284" spans="1:9" ht="25.5" customHeight="1" x14ac:dyDescent="0.2">
      <c r="A1284" s="27">
        <v>1282</v>
      </c>
      <c r="B1284" s="29">
        <v>7079185</v>
      </c>
      <c r="C1284" s="29" t="str">
        <f ca="1">IFERROR(__xludf.DUMMYFUNCTION("GOOGLETRANSLATE(C3630,""en"",""hr"")"),"Cijev, obložena")</f>
        <v>Cijev, obložena</v>
      </c>
      <c r="D1284" s="28" t="s">
        <v>11</v>
      </c>
      <c r="E1284" s="29">
        <v>1</v>
      </c>
      <c r="F1284" s="17"/>
    </row>
    <row r="1285" spans="1:9" ht="25.5" customHeight="1" x14ac:dyDescent="0.2">
      <c r="A1285" s="27">
        <v>1283</v>
      </c>
      <c r="B1285" s="29">
        <v>7079187</v>
      </c>
      <c r="C1285" s="29" t="str">
        <f ca="1">IFERROR(__xludf.DUMMYFUNCTION("GOOGLETRANSLATE(C5604,""en"",""hr"")"),"Potporni blok")</f>
        <v>Potporni blok</v>
      </c>
      <c r="D1285" s="28" t="s">
        <v>11</v>
      </c>
      <c r="E1285" s="29">
        <v>1</v>
      </c>
      <c r="F1285" s="17"/>
    </row>
    <row r="1286" spans="1:9" ht="25.5" customHeight="1" x14ac:dyDescent="0.2">
      <c r="A1286" s="27">
        <v>1284</v>
      </c>
      <c r="B1286" s="29">
        <v>7079194</v>
      </c>
      <c r="C1286" s="29" t="str">
        <f ca="1">IFERROR(__xludf.DUMMYFUNCTION("GOOGLETRANSLATE(C1175,""en"",""hr"")"),"Držač")</f>
        <v>Držač</v>
      </c>
      <c r="D1286" s="28" t="s">
        <v>11</v>
      </c>
      <c r="E1286" s="29">
        <v>1</v>
      </c>
      <c r="F1286" s="17"/>
    </row>
    <row r="1287" spans="1:9" ht="25.5" customHeight="1" x14ac:dyDescent="0.2">
      <c r="A1287" s="27">
        <v>1285</v>
      </c>
      <c r="B1287" s="29">
        <v>7079213</v>
      </c>
      <c r="C1287" s="29" t="str">
        <f ca="1">IFERROR(__xludf.DUMMYFUNCTION("GOOGLETRANSLATE(C3212,""en"",""hr"")"),"Držač")</f>
        <v>Držač</v>
      </c>
      <c r="D1287" s="28" t="s">
        <v>11</v>
      </c>
      <c r="E1287" s="29">
        <v>1</v>
      </c>
      <c r="F1287" s="17"/>
    </row>
    <row r="1288" spans="1:9" ht="25.5" customHeight="1" x14ac:dyDescent="0.2">
      <c r="A1288" s="27">
        <v>1286</v>
      </c>
      <c r="B1288" s="29">
        <v>7079216</v>
      </c>
      <c r="C1288" s="29" t="str">
        <f ca="1">IFERROR(__xludf.DUMMYFUNCTION("GOOGLETRANSLATE(C3222,""en"",""hr"")"),"Poklopac")</f>
        <v>Poklopac</v>
      </c>
      <c r="D1288" s="28" t="s">
        <v>11</v>
      </c>
      <c r="E1288" s="29">
        <v>1</v>
      </c>
      <c r="F1288" s="17"/>
    </row>
    <row r="1289" spans="1:9" ht="25.5" customHeight="1" x14ac:dyDescent="0.2">
      <c r="A1289" s="27">
        <v>1287</v>
      </c>
      <c r="B1289" s="29">
        <v>7079234</v>
      </c>
      <c r="C1289" s="29" t="str">
        <f ca="1">IFERROR(__xludf.DUMMYFUNCTION("GOOGLETRANSLATE(C6205,""en"",""hr"")"),"Cijev, obložena")</f>
        <v>Cijev, obložena</v>
      </c>
      <c r="D1289" s="28" t="s">
        <v>11</v>
      </c>
      <c r="E1289" s="29">
        <v>1</v>
      </c>
      <c r="F1289" s="17"/>
    </row>
    <row r="1290" spans="1:9" ht="25.5" customHeight="1" x14ac:dyDescent="0.2">
      <c r="A1290" s="27">
        <v>1288</v>
      </c>
      <c r="B1290" s="29">
        <v>7079235</v>
      </c>
      <c r="C1290" s="29" t="str">
        <f ca="1">IFERROR(__xludf.DUMMYFUNCTION("GOOGLETRANSLATE(C4820,""en"",""hr"")"),"Poklopac, bijeli")</f>
        <v>Poklopac, bijeli</v>
      </c>
      <c r="D1290" s="28" t="s">
        <v>11</v>
      </c>
      <c r="E1290" s="29">
        <v>1</v>
      </c>
      <c r="F1290" s="17"/>
    </row>
    <row r="1291" spans="1:9" ht="25.5" customHeight="1" x14ac:dyDescent="0.2">
      <c r="A1291" s="27">
        <v>1289</v>
      </c>
      <c r="B1291" s="29">
        <v>7079238</v>
      </c>
      <c r="C1291" s="29" t="str">
        <f ca="1">IFERROR(__xludf.DUMMYFUNCTION("GOOGLETRANSLATE(C6207,""en"",""hr"")"),"Cijev, obložena")</f>
        <v>Cijev, obložena</v>
      </c>
      <c r="D1291" s="28" t="s">
        <v>11</v>
      </c>
      <c r="E1291" s="29">
        <v>1</v>
      </c>
      <c r="F1291" s="17"/>
      <c r="I1291" s="4" t="b">
        <f>INT(F1289*100)=(F1289*100)</f>
        <v>1</v>
      </c>
    </row>
    <row r="1292" spans="1:9" ht="25.5" customHeight="1" x14ac:dyDescent="0.2">
      <c r="A1292" s="27">
        <v>1290</v>
      </c>
      <c r="B1292" s="29">
        <v>7079240</v>
      </c>
      <c r="C1292" s="29" t="str">
        <f ca="1">IFERROR(__xludf.DUMMYFUNCTION("GOOGLETRANSLATE(C3206,""en"",""hr"")"),"Metalni lim")</f>
        <v>Metalni lim</v>
      </c>
      <c r="D1292" s="28" t="s">
        <v>11</v>
      </c>
      <c r="E1292" s="29">
        <v>1</v>
      </c>
      <c r="F1292" s="17"/>
    </row>
    <row r="1293" spans="1:9" ht="25.5" customHeight="1" x14ac:dyDescent="0.2">
      <c r="A1293" s="27">
        <v>1291</v>
      </c>
      <c r="B1293" s="29">
        <v>7079243</v>
      </c>
      <c r="C1293" s="29" t="str">
        <f ca="1">IFERROR(__xludf.DUMMYFUNCTION("GOOGLETRANSLATE(C6212,""en"",""hr"")"),"Cijev, obložena")</f>
        <v>Cijev, obložena</v>
      </c>
      <c r="D1293" s="28" t="s">
        <v>11</v>
      </c>
      <c r="E1293" s="29">
        <v>1</v>
      </c>
      <c r="F1293" s="17"/>
    </row>
    <row r="1294" spans="1:9" ht="25.5" customHeight="1" x14ac:dyDescent="0.2">
      <c r="A1294" s="27">
        <v>1292</v>
      </c>
      <c r="B1294" s="29">
        <v>7079245</v>
      </c>
      <c r="C1294" s="29" t="str">
        <f ca="1">IFERROR(__xludf.DUMMYFUNCTION("GOOGLETRANSLATE(C6214,""en"",""hr"")"),"Cijev, obložena")</f>
        <v>Cijev, obložena</v>
      </c>
      <c r="D1294" s="28" t="s">
        <v>11</v>
      </c>
      <c r="E1294" s="29">
        <v>1</v>
      </c>
      <c r="F1294" s="17"/>
      <c r="I1294" s="4" t="b">
        <f>INT(F1292*100)=(F1292*100)</f>
        <v>1</v>
      </c>
    </row>
    <row r="1295" spans="1:9" ht="25.5" customHeight="1" x14ac:dyDescent="0.2">
      <c r="A1295" s="27">
        <v>1293</v>
      </c>
      <c r="B1295" s="29">
        <v>7079251</v>
      </c>
      <c r="C1295" s="29" t="str">
        <f ca="1">IFERROR(__xludf.DUMMYFUNCTION("GOOGLETRANSLATE(C6216,""en"",""hr"")"),"Cijev, obložena")</f>
        <v>Cijev, obložena</v>
      </c>
      <c r="D1295" s="28" t="s">
        <v>11</v>
      </c>
      <c r="E1295" s="29">
        <v>1</v>
      </c>
      <c r="F1295" s="17"/>
    </row>
    <row r="1296" spans="1:9" ht="25.5" customHeight="1" x14ac:dyDescent="0.2">
      <c r="A1296" s="27">
        <v>1294</v>
      </c>
      <c r="B1296" s="29">
        <v>7079255</v>
      </c>
      <c r="C1296" s="29" t="str">
        <f ca="1">IFERROR(__xludf.DUMMYFUNCTION("GOOGLETRANSLATE(C6218,""en"",""hr"")"),"Cijev, obložena")</f>
        <v>Cijev, obložena</v>
      </c>
      <c r="D1296" s="28" t="s">
        <v>11</v>
      </c>
      <c r="E1296" s="29">
        <v>1</v>
      </c>
      <c r="F1296" s="17"/>
    </row>
    <row r="1297" spans="1:9" ht="25.5" customHeight="1" x14ac:dyDescent="0.2">
      <c r="A1297" s="27">
        <v>1295</v>
      </c>
      <c r="B1297" s="29">
        <v>7079257</v>
      </c>
      <c r="C1297" s="29" t="str">
        <f ca="1">IFERROR(__xludf.DUMMYFUNCTION("GOOGLETRANSLATE(C6220,""en"",""hr"")"),"Cijev, obložena")</f>
        <v>Cijev, obložena</v>
      </c>
      <c r="D1297" s="28" t="s">
        <v>11</v>
      </c>
      <c r="E1297" s="29">
        <v>1</v>
      </c>
      <c r="F1297" s="17"/>
    </row>
    <row r="1298" spans="1:9" ht="25.5" customHeight="1" x14ac:dyDescent="0.2">
      <c r="A1298" s="27">
        <v>1296</v>
      </c>
      <c r="B1298" s="29">
        <v>7079258</v>
      </c>
      <c r="C1298" s="29" t="str">
        <f ca="1">IFERROR(__xludf.DUMMYFUNCTION("GOOGLETRANSLATE(C6232,""en"",""hr"")"),"Cijev, obložena")</f>
        <v>Cijev, obložena</v>
      </c>
      <c r="D1298" s="28" t="s">
        <v>11</v>
      </c>
      <c r="E1298" s="29">
        <v>1</v>
      </c>
      <c r="F1298" s="17"/>
      <c r="I1298" s="4" t="b">
        <f>INT(F1296*100)=(F1296*100)</f>
        <v>1</v>
      </c>
    </row>
    <row r="1299" spans="1:9" ht="25.5" customHeight="1" x14ac:dyDescent="0.2">
      <c r="A1299" s="27">
        <v>1297</v>
      </c>
      <c r="B1299" s="29">
        <v>7079268</v>
      </c>
      <c r="C1299" s="29" t="str">
        <f ca="1">IFERROR(__xludf.DUMMYFUNCTION("GOOGLETRANSLATE(C6234,""en"",""hr"")"),"Cijev, obložena")</f>
        <v>Cijev, obložena</v>
      </c>
      <c r="D1299" s="28" t="s">
        <v>11</v>
      </c>
      <c r="E1299" s="29">
        <v>1</v>
      </c>
      <c r="F1299" s="17"/>
    </row>
    <row r="1300" spans="1:9" ht="25.5" customHeight="1" x14ac:dyDescent="0.2">
      <c r="A1300" s="27">
        <v>1298</v>
      </c>
      <c r="B1300" s="29">
        <v>7079271</v>
      </c>
      <c r="C1300" s="29" t="str">
        <f ca="1">IFERROR(__xludf.DUMMYFUNCTION("GOOGLETRANSLATE(C518,""en"",""hr"")"),"Cijev, obložena")</f>
        <v>Cijev, obložena</v>
      </c>
      <c r="D1300" s="28" t="s">
        <v>11</v>
      </c>
      <c r="E1300" s="29">
        <v>1</v>
      </c>
      <c r="F1300" s="17"/>
    </row>
    <row r="1301" spans="1:9" ht="25.5" customHeight="1" x14ac:dyDescent="0.2">
      <c r="A1301" s="27">
        <v>1299</v>
      </c>
      <c r="B1301" s="29">
        <v>7079272</v>
      </c>
      <c r="C1301" s="29" t="str">
        <f ca="1">IFERROR(__xludf.DUMMYFUNCTION("GOOGLETRANSLATE(C519,""en"",""hr"")"),"Cijev, obložena")</f>
        <v>Cijev, obložena</v>
      </c>
      <c r="D1301" s="28" t="s">
        <v>11</v>
      </c>
      <c r="E1301" s="29">
        <v>1</v>
      </c>
      <c r="F1301" s="17"/>
    </row>
    <row r="1302" spans="1:9" ht="25.5" customHeight="1" x14ac:dyDescent="0.2">
      <c r="A1302" s="27">
        <v>1300</v>
      </c>
      <c r="B1302" s="29">
        <v>7079273</v>
      </c>
      <c r="C1302" s="29" t="str">
        <f ca="1">IFERROR(__xludf.DUMMYFUNCTION("GOOGLETRANSLATE(C520,""en"",""hr"")"),"Cijev, obložena")</f>
        <v>Cijev, obložena</v>
      </c>
      <c r="D1302" s="28" t="s">
        <v>11</v>
      </c>
      <c r="E1302" s="29">
        <v>1</v>
      </c>
      <c r="F1302" s="17"/>
    </row>
    <row r="1303" spans="1:9" ht="25.5" customHeight="1" x14ac:dyDescent="0.2">
      <c r="A1303" s="27">
        <v>1301</v>
      </c>
      <c r="B1303" s="29">
        <v>7079364</v>
      </c>
      <c r="C1303" s="29" t="str">
        <f ca="1">IFERROR(__xludf.DUMMYFUNCTION("GOOGLETRANSLATE(C4876,""en"",""hr"")"),"režanj")</f>
        <v>režanj</v>
      </c>
      <c r="D1303" s="28" t="s">
        <v>11</v>
      </c>
      <c r="E1303" s="29">
        <v>1</v>
      </c>
      <c r="F1303" s="17"/>
    </row>
    <row r="1304" spans="1:9" ht="25.5" customHeight="1" x14ac:dyDescent="0.2">
      <c r="A1304" s="27">
        <v>1302</v>
      </c>
      <c r="B1304" s="29">
        <v>7079375</v>
      </c>
      <c r="C1304" s="29" t="str">
        <f ca="1">IFERROR(__xludf.DUMMYFUNCTION("GOOGLETRANSLATE(C5600,""en"",""hr"")"),"Theraded šipka")</f>
        <v>Theraded šipka</v>
      </c>
      <c r="D1304" s="28" t="s">
        <v>11</v>
      </c>
      <c r="E1304" s="29">
        <v>1</v>
      </c>
      <c r="F1304" s="17"/>
    </row>
    <row r="1305" spans="1:9" ht="25.5" customHeight="1" x14ac:dyDescent="0.2">
      <c r="A1305" s="27">
        <v>1303</v>
      </c>
      <c r="B1305" s="29">
        <v>7079413</v>
      </c>
      <c r="C1305" s="29" t="str">
        <f ca="1">IFERROR(__xludf.DUMMYFUNCTION("GOOGLETRANSLATE(C3141,""en"",""hr"")"),"Cijev")</f>
        <v>Cijev</v>
      </c>
      <c r="D1305" s="28" t="s">
        <v>11</v>
      </c>
      <c r="E1305" s="29">
        <v>1</v>
      </c>
      <c r="F1305" s="17"/>
    </row>
    <row r="1306" spans="1:9" ht="25.5" customHeight="1" x14ac:dyDescent="0.2">
      <c r="A1306" s="27">
        <v>1304</v>
      </c>
      <c r="B1306" s="29">
        <v>7079424</v>
      </c>
      <c r="C1306" s="29" t="str">
        <f ca="1">IFERROR(__xludf.DUMMYFUNCTION("GOOGLETRANSLATE(C3131,""en"",""hr"")"),"Uklapanje")</f>
        <v>Uklapanje</v>
      </c>
      <c r="D1306" s="28" t="s">
        <v>11</v>
      </c>
      <c r="E1306" s="29">
        <v>1</v>
      </c>
      <c r="F1306" s="17"/>
    </row>
    <row r="1307" spans="1:9" ht="25.5" customHeight="1" x14ac:dyDescent="0.2">
      <c r="A1307" s="27">
        <v>1305</v>
      </c>
      <c r="B1307" s="29">
        <v>7079468</v>
      </c>
      <c r="C1307" s="29" t="str">
        <f ca="1">IFERROR(__xludf.DUMMYFUNCTION("GOOGLETRANSLATE(C60,""en"",""hr"")"),"Gumeni zglob")</f>
        <v>Gumeni zglob</v>
      </c>
      <c r="D1307" s="28" t="s">
        <v>11</v>
      </c>
      <c r="E1307" s="29">
        <v>1</v>
      </c>
      <c r="F1307" s="17"/>
    </row>
    <row r="1308" spans="1:9" ht="25.5" customHeight="1" x14ac:dyDescent="0.2">
      <c r="A1308" s="27">
        <v>1306</v>
      </c>
      <c r="B1308" s="29">
        <v>7079498</v>
      </c>
      <c r="C1308" s="29" t="str">
        <f ca="1">IFERROR(__xludf.DUMMYFUNCTION("GOOGLETRANSLATE(C3211,""en"",""hr"")"),"Plinska opruga 250N")</f>
        <v>Plinska opruga 250N</v>
      </c>
      <c r="D1308" s="28" t="s">
        <v>11</v>
      </c>
      <c r="E1308" s="29">
        <v>1</v>
      </c>
      <c r="F1308" s="17"/>
    </row>
    <row r="1309" spans="1:9" ht="25.5" customHeight="1" x14ac:dyDescent="0.2">
      <c r="A1309" s="27">
        <v>1307</v>
      </c>
      <c r="B1309" s="29">
        <v>7079523</v>
      </c>
      <c r="C1309" s="29" t="str">
        <f ca="1">IFERROR(__xludf.DUMMYFUNCTION("GOOGLETRANSLATE(C5216,""en"",""hr"")"),"Lim lijevo")</f>
        <v>Lim lijevo</v>
      </c>
      <c r="D1309" s="28" t="s">
        <v>11</v>
      </c>
      <c r="E1309" s="29">
        <v>1</v>
      </c>
      <c r="F1309" s="17"/>
    </row>
    <row r="1310" spans="1:9" ht="25.5" customHeight="1" x14ac:dyDescent="0.2">
      <c r="A1310" s="27">
        <v>1308</v>
      </c>
      <c r="B1310" s="29">
        <v>7079525</v>
      </c>
      <c r="C1310" s="29" t="str">
        <f ca="1">IFERROR(__xludf.DUMMYFUNCTION("GOOGLETRANSLATE(C5752,""en"",""hr"")"),"Montažna ploča")</f>
        <v>Montažna ploča</v>
      </c>
      <c r="D1310" s="28" t="s">
        <v>11</v>
      </c>
      <c r="E1310" s="29">
        <v>1</v>
      </c>
      <c r="F1310" s="17"/>
    </row>
    <row r="1311" spans="1:9" ht="25.5" customHeight="1" x14ac:dyDescent="0.2">
      <c r="A1311" s="27">
        <v>1309</v>
      </c>
      <c r="B1311" s="29">
        <v>7079527</v>
      </c>
      <c r="C1311" s="29" t="str">
        <f ca="1">IFERROR(__xludf.DUMMYFUNCTION("GOOGLETRANSLATE(C5815,""en"",""hr"")"),"Montažna ploča")</f>
        <v>Montažna ploča</v>
      </c>
      <c r="D1311" s="28" t="s">
        <v>11</v>
      </c>
      <c r="E1311" s="29">
        <v>1</v>
      </c>
      <c r="F1311" s="17"/>
    </row>
    <row r="1312" spans="1:9" ht="25.5" customHeight="1" x14ac:dyDescent="0.2">
      <c r="A1312" s="27">
        <v>1310</v>
      </c>
      <c r="B1312" s="29">
        <v>7079566</v>
      </c>
      <c r="C1312" s="29" t="str">
        <f ca="1">IFERROR(__xludf.DUMMYFUNCTION("GOOGLETRANSLATE(C6287,""en"",""hr"")"),"Kabelski svežanj (+B-HO)")</f>
        <v>Kabelski svežanj (+B-HO)</v>
      </c>
      <c r="D1312" s="28" t="s">
        <v>11</v>
      </c>
      <c r="E1312" s="29">
        <v>1</v>
      </c>
      <c r="F1312" s="17"/>
    </row>
    <row r="1313" spans="1:9" ht="25.5" customHeight="1" x14ac:dyDescent="0.2">
      <c r="A1313" s="27">
        <v>1311</v>
      </c>
      <c r="B1313" s="29">
        <v>7079568</v>
      </c>
      <c r="C1313" s="29" t="str">
        <f ca="1">IFERROR(__xludf.DUMMYFUNCTION("GOOGLETRANSLATE(C6306,""en"",""hr"")"),"Kabelski svežanj (+PP-EV)")</f>
        <v>Kabelski svežanj (+PP-EV)</v>
      </c>
      <c r="D1313" s="28" t="s">
        <v>11</v>
      </c>
      <c r="E1313" s="29">
        <v>1</v>
      </c>
      <c r="F1313" s="17"/>
    </row>
    <row r="1314" spans="1:9" ht="25.5" customHeight="1" x14ac:dyDescent="0.2">
      <c r="A1314" s="27">
        <v>1312</v>
      </c>
      <c r="B1314" s="29">
        <v>7079610</v>
      </c>
      <c r="C1314" s="29" t="str">
        <f ca="1">IFERROR(__xludf.DUMMYFUNCTION("GOOGLETRANSLATE(C4626,""en"",""hr"")"),"Cijev")</f>
        <v>Cijev</v>
      </c>
      <c r="D1314" s="28" t="s">
        <v>11</v>
      </c>
      <c r="E1314" s="29">
        <v>1</v>
      </c>
      <c r="F1314" s="17"/>
    </row>
    <row r="1315" spans="1:9" ht="25.5" customHeight="1" x14ac:dyDescent="0.2">
      <c r="A1315" s="27">
        <v>1313</v>
      </c>
      <c r="B1315" s="29">
        <v>7079611</v>
      </c>
      <c r="C1315" s="29" t="str">
        <f ca="1">IFERROR(__xludf.DUMMYFUNCTION("GOOGLETRANSLATE(C4628,""en"",""hr"")"),"Cijev")</f>
        <v>Cijev</v>
      </c>
      <c r="D1315" s="28" t="s">
        <v>11</v>
      </c>
      <c r="E1315" s="29">
        <v>1</v>
      </c>
      <c r="F1315" s="17"/>
    </row>
    <row r="1316" spans="1:9" ht="25.5" customHeight="1" x14ac:dyDescent="0.2">
      <c r="A1316" s="27">
        <v>1314</v>
      </c>
      <c r="B1316" s="29">
        <v>7079612</v>
      </c>
      <c r="C1316" s="29" t="str">
        <f ca="1">IFERROR(__xludf.DUMMYFUNCTION("GOOGLETRANSLATE(C4633,""en"",""hr"")"),"Crijevo")</f>
        <v>Crijevo</v>
      </c>
      <c r="D1316" s="28" t="s">
        <v>11</v>
      </c>
      <c r="E1316" s="29">
        <v>1</v>
      </c>
      <c r="F1316" s="17"/>
    </row>
    <row r="1317" spans="1:9" ht="25.5" customHeight="1" x14ac:dyDescent="0.2">
      <c r="A1317" s="27">
        <v>1315</v>
      </c>
      <c r="B1317" s="29">
        <v>7079613</v>
      </c>
      <c r="C1317" s="29" t="str">
        <f ca="1">IFERROR(__xludf.DUMMYFUNCTION("GOOGLETRANSLATE(C4631,""en"",""hr"")"),"Crijevo")</f>
        <v>Crijevo</v>
      </c>
      <c r="D1317" s="28" t="s">
        <v>11</v>
      </c>
      <c r="E1317" s="29">
        <v>1</v>
      </c>
      <c r="F1317" s="17"/>
      <c r="I1317" s="4" t="b">
        <f>INT(F1315*100)=(F1315*100)</f>
        <v>1</v>
      </c>
    </row>
    <row r="1318" spans="1:9" ht="25.5" customHeight="1" x14ac:dyDescent="0.2">
      <c r="A1318" s="27">
        <v>1316</v>
      </c>
      <c r="B1318" s="29">
        <v>7079614</v>
      </c>
      <c r="C1318" s="29" t="str">
        <f ca="1">IFERROR(__xludf.DUMMYFUNCTION("GOOGLETRANSLATE(C4613,""en"",""hr"")"),"Crijevo")</f>
        <v>Crijevo</v>
      </c>
      <c r="D1318" s="28" t="s">
        <v>11</v>
      </c>
      <c r="E1318" s="29">
        <v>1</v>
      </c>
      <c r="F1318" s="17"/>
    </row>
    <row r="1319" spans="1:9" ht="25.5" customHeight="1" x14ac:dyDescent="0.2">
      <c r="A1319" s="27">
        <v>1317</v>
      </c>
      <c r="B1319" s="29">
        <v>7079615</v>
      </c>
      <c r="C1319" s="29" t="str">
        <f ca="1">IFERROR(__xludf.DUMMYFUNCTION("GOOGLETRANSLATE(C4614,""en"",""hr"")"),"Crijevo")</f>
        <v>Crijevo</v>
      </c>
      <c r="D1319" s="28" t="s">
        <v>11</v>
      </c>
      <c r="E1319" s="29">
        <v>1</v>
      </c>
      <c r="F1319" s="17"/>
    </row>
    <row r="1320" spans="1:9" ht="25.5" customHeight="1" x14ac:dyDescent="0.2">
      <c r="A1320" s="27">
        <v>1318</v>
      </c>
      <c r="B1320" s="29">
        <v>7079618</v>
      </c>
      <c r="C1320" s="29" t="str">
        <f ca="1">IFERROR(__xludf.DUMMYFUNCTION("GOOGLETRANSLATE(C6462,""en"",""hr"")"),"Ožičenje (+CH)")</f>
        <v>Ožičenje (+CH)</v>
      </c>
      <c r="D1320" s="28" t="s">
        <v>11</v>
      </c>
      <c r="E1320" s="29">
        <v>1</v>
      </c>
      <c r="F1320" s="17"/>
      <c r="I1320" s="4" t="b">
        <f>INT(F1318*100)=(F1318*100)</f>
        <v>1</v>
      </c>
    </row>
    <row r="1321" spans="1:9" ht="25.5" customHeight="1" x14ac:dyDescent="0.2">
      <c r="A1321" s="27">
        <v>1319</v>
      </c>
      <c r="B1321" s="29">
        <v>7079619</v>
      </c>
      <c r="C1321" s="29" t="str">
        <f ca="1">IFERROR(__xludf.DUMMYFUNCTION("GOOGLETRANSLATE(C5220,""en"",""hr"")"),"Zaštita")</f>
        <v>Zaštita</v>
      </c>
      <c r="D1321" s="28" t="s">
        <v>11</v>
      </c>
      <c r="E1321" s="29">
        <v>1</v>
      </c>
      <c r="F1321" s="17"/>
    </row>
    <row r="1322" spans="1:9" ht="25.5" customHeight="1" x14ac:dyDescent="0.2">
      <c r="A1322" s="27">
        <v>1320</v>
      </c>
      <c r="B1322" s="29">
        <v>7079649</v>
      </c>
      <c r="C1322" s="29" t="str">
        <f ca="1">IFERROR(__xludf.DUMMYFUNCTION("GOOGLETRANSLATE(C4616,""en"",""hr"")"),"Ploča za pričvršćivanje")</f>
        <v>Ploča za pričvršćivanje</v>
      </c>
      <c r="D1322" s="28" t="s">
        <v>11</v>
      </c>
      <c r="E1322" s="29">
        <v>1</v>
      </c>
      <c r="F1322" s="17"/>
    </row>
    <row r="1323" spans="1:9" ht="25.5" customHeight="1" x14ac:dyDescent="0.2">
      <c r="A1323" s="27">
        <v>1321</v>
      </c>
      <c r="B1323" s="29">
        <v>7079652</v>
      </c>
      <c r="C1323" s="29" t="str">
        <f ca="1">IFERROR(__xludf.DUMMYFUNCTION("GOOGLETRANSLATE(C1535,""en"",""hr"")"),"Kabelski svežanj za izmjenjivo vozilo")</f>
        <v>Kabelski svežanj za izmjenjivo vozilo</v>
      </c>
      <c r="D1323" s="28" t="s">
        <v>11</v>
      </c>
      <c r="E1323" s="29">
        <v>1</v>
      </c>
      <c r="F1323" s="17"/>
    </row>
    <row r="1324" spans="1:9" ht="25.5" customHeight="1" x14ac:dyDescent="0.2">
      <c r="A1324" s="27">
        <v>1322</v>
      </c>
      <c r="B1324" s="29">
        <v>7079666</v>
      </c>
      <c r="C1324" s="29" t="str">
        <f ca="1">IFERROR(__xludf.DUMMYFUNCTION("GOOGLETRANSLATE(C6282,""en"",""hr"")"),"Kabel (+) (+O-JS)")</f>
        <v>Kabel (+) (+O-JS)</v>
      </c>
      <c r="D1324" s="28" t="s">
        <v>11</v>
      </c>
      <c r="E1324" s="29">
        <v>1</v>
      </c>
      <c r="F1324" s="17"/>
      <c r="I1324" s="4" t="b">
        <f>INT(F1322*100)=(F1322*100)</f>
        <v>1</v>
      </c>
    </row>
    <row r="1325" spans="1:9" ht="25.5" customHeight="1" x14ac:dyDescent="0.2">
      <c r="A1325" s="27">
        <v>1323</v>
      </c>
      <c r="B1325" s="29">
        <v>7079667</v>
      </c>
      <c r="C1325" s="29" t="str">
        <f ca="1">IFERROR(__xludf.DUMMYFUNCTION("GOOGLETRANSLATE(C6284,""en"",""hr"")"),"Kabel (-) (+O-JS)")</f>
        <v>Kabel (-) (+O-JS)</v>
      </c>
      <c r="D1325" s="28" t="s">
        <v>11</v>
      </c>
      <c r="E1325" s="29">
        <v>1</v>
      </c>
      <c r="F1325" s="17"/>
    </row>
    <row r="1326" spans="1:9" ht="25.5" customHeight="1" x14ac:dyDescent="0.2">
      <c r="A1326" s="27">
        <v>1324</v>
      </c>
      <c r="B1326" s="29">
        <v>7079668</v>
      </c>
      <c r="C1326" s="29" t="str">
        <f ca="1">IFERROR(__xludf.DUMMYFUNCTION("GOOGLETRANSLATE(C6476,""en"",""hr"")"),"Ploča za pričvršćivanje")</f>
        <v>Ploča za pričvršćivanje</v>
      </c>
      <c r="D1326" s="28" t="s">
        <v>11</v>
      </c>
      <c r="E1326" s="29">
        <v>1</v>
      </c>
      <c r="F1326" s="17"/>
    </row>
    <row r="1327" spans="1:9" ht="25.5" customHeight="1" x14ac:dyDescent="0.2">
      <c r="A1327" s="27">
        <v>1325</v>
      </c>
      <c r="B1327" s="29">
        <v>7079677</v>
      </c>
      <c r="C1327" s="29" t="str">
        <f ca="1">IFERROR(__xludf.DUMMYFUNCTION("GOOGLETRANSLATE(C35,""en"",""hr"")"),"Tenk")</f>
        <v>Tenk</v>
      </c>
      <c r="D1327" s="28" t="s">
        <v>11</v>
      </c>
      <c r="E1327" s="29">
        <v>1</v>
      </c>
      <c r="F1327" s="17"/>
    </row>
    <row r="1328" spans="1:9" ht="25.5" customHeight="1" x14ac:dyDescent="0.2">
      <c r="A1328" s="27">
        <v>1326</v>
      </c>
      <c r="B1328" s="29">
        <v>7079705</v>
      </c>
      <c r="C1328" s="29" t="str">
        <f ca="1">IFERROR(__xludf.DUMMYFUNCTION("GOOGLETRANSLATE(C3154,""en"",""hr"")"),"Držač")</f>
        <v>Držač</v>
      </c>
      <c r="D1328" s="28" t="s">
        <v>11</v>
      </c>
      <c r="E1328" s="29">
        <v>1</v>
      </c>
      <c r="F1328" s="17"/>
    </row>
    <row r="1329" spans="1:9" ht="25.5" customHeight="1" x14ac:dyDescent="0.2">
      <c r="A1329" s="27">
        <v>1327</v>
      </c>
      <c r="B1329" s="29">
        <v>7079713</v>
      </c>
      <c r="C1329" s="29" t="str">
        <f ca="1">IFERROR(__xludf.DUMMYFUNCTION("GOOGLETRANSLATE(C3160,""en"",""hr"")"),"Čahura")</f>
        <v>Čahura</v>
      </c>
      <c r="D1329" s="28" t="s">
        <v>11</v>
      </c>
      <c r="E1329" s="29">
        <v>1</v>
      </c>
      <c r="F1329" s="17"/>
    </row>
    <row r="1330" spans="1:9" ht="25.5" customHeight="1" x14ac:dyDescent="0.2">
      <c r="A1330" s="27">
        <v>1328</v>
      </c>
      <c r="B1330" s="29">
        <v>7079741</v>
      </c>
      <c r="C1330" s="29" t="str">
        <f ca="1">IFERROR(__xludf.DUMMYFUNCTION("GOOGLETRANSLATE(C4538,""en"",""hr"")"),"Poklopna ploča")</f>
        <v>Poklopna ploča</v>
      </c>
      <c r="D1330" s="28" t="s">
        <v>11</v>
      </c>
      <c r="E1330" s="29">
        <v>1</v>
      </c>
      <c r="F1330" s="17"/>
    </row>
    <row r="1331" spans="1:9" ht="25.5" customHeight="1" x14ac:dyDescent="0.2">
      <c r="A1331" s="27">
        <v>1329</v>
      </c>
      <c r="B1331" s="29">
        <v>7079746</v>
      </c>
      <c r="C1331" s="29" t="str">
        <f ca="1">IFERROR(__xludf.DUMMYFUNCTION("GOOGLETRANSLATE(C294,""en"",""hr"")"),"Prednja šasija kpl.")</f>
        <v>Prednja šasija kpl.</v>
      </c>
      <c r="D1331" s="28" t="s">
        <v>11</v>
      </c>
      <c r="E1331" s="29">
        <v>1</v>
      </c>
      <c r="F1331" s="17"/>
    </row>
    <row r="1332" spans="1:9" ht="25.5" customHeight="1" x14ac:dyDescent="0.2">
      <c r="A1332" s="27">
        <v>1330</v>
      </c>
      <c r="B1332" s="29">
        <v>7079754</v>
      </c>
      <c r="C1332" s="29" t="str">
        <f ca="1">IFERROR(__xludf.DUMMYFUNCTION("GOOGLETRANSLATE(C4611,""en"",""hr"")"),"Crijevo")</f>
        <v>Crijevo</v>
      </c>
      <c r="D1332" s="28" t="s">
        <v>11</v>
      </c>
      <c r="E1332" s="29">
        <v>1</v>
      </c>
      <c r="F1332" s="17"/>
    </row>
    <row r="1333" spans="1:9" ht="25.5" customHeight="1" x14ac:dyDescent="0.2">
      <c r="A1333" s="27">
        <v>1331</v>
      </c>
      <c r="B1333" s="29">
        <v>7079755</v>
      </c>
      <c r="C1333" s="29" t="str">
        <f ca="1">IFERROR(__xludf.DUMMYFUNCTION("GOOGLETRANSLATE(C4615,""en"",""hr"")"),"Crijevo")</f>
        <v>Crijevo</v>
      </c>
      <c r="D1333" s="28" t="s">
        <v>11</v>
      </c>
      <c r="E1333" s="29">
        <v>1</v>
      </c>
      <c r="F1333" s="17"/>
    </row>
    <row r="1334" spans="1:9" ht="25.5" customHeight="1" x14ac:dyDescent="0.2">
      <c r="A1334" s="27">
        <v>1332</v>
      </c>
      <c r="B1334" s="29">
        <v>7079819</v>
      </c>
      <c r="C1334" s="29" t="str">
        <f ca="1">IFERROR(__xludf.DUMMYFUNCTION("GOOGLETRANSLATE(C4437,""en"",""hr"")"),"Odstojna cijev")</f>
        <v>Odstojna cijev</v>
      </c>
      <c r="D1334" s="28" t="s">
        <v>11</v>
      </c>
      <c r="E1334" s="29">
        <v>1</v>
      </c>
      <c r="F1334" s="17"/>
    </row>
    <row r="1335" spans="1:9" ht="25.5" customHeight="1" x14ac:dyDescent="0.2">
      <c r="A1335" s="27">
        <v>1333</v>
      </c>
      <c r="B1335" s="29">
        <v>7079851</v>
      </c>
      <c r="C1335" s="29" t="str">
        <f ca="1">IFERROR(__xludf.DUMMYFUNCTION("GOOGLETRANSLATE(C4519,""en"",""hr"")"),"Mrežasti okvir")</f>
        <v>Mrežasti okvir</v>
      </c>
      <c r="D1335" s="28" t="s">
        <v>11</v>
      </c>
      <c r="E1335" s="29">
        <v>1</v>
      </c>
      <c r="F1335" s="17"/>
    </row>
    <row r="1336" spans="1:9" ht="25.5" customHeight="1" x14ac:dyDescent="0.2">
      <c r="A1336" s="27">
        <v>1334</v>
      </c>
      <c r="B1336" s="29">
        <v>7079871</v>
      </c>
      <c r="C1336" s="29" t="str">
        <f ca="1">IFERROR(__xludf.DUMMYFUNCTION("GOOGLETRANSLATE(C4592,""en"",""hr"")"),"Crijevo")</f>
        <v>Crijevo</v>
      </c>
      <c r="D1336" s="28" t="s">
        <v>11</v>
      </c>
      <c r="E1336" s="29">
        <v>1</v>
      </c>
      <c r="F1336" s="17"/>
    </row>
    <row r="1337" spans="1:9" ht="25.5" customHeight="1" x14ac:dyDescent="0.2">
      <c r="A1337" s="27">
        <v>1335</v>
      </c>
      <c r="B1337" s="29">
        <v>7079872</v>
      </c>
      <c r="C1337" s="29" t="str">
        <f ca="1">IFERROR(__xludf.DUMMYFUNCTION("GOOGLETRANSLATE(C4594,""en"",""hr"")"),"Crijevo")</f>
        <v>Crijevo</v>
      </c>
      <c r="D1337" s="28" t="s">
        <v>11</v>
      </c>
      <c r="E1337" s="29">
        <v>1</v>
      </c>
      <c r="F1337" s="17"/>
    </row>
    <row r="1338" spans="1:9" ht="25.5" customHeight="1" x14ac:dyDescent="0.2">
      <c r="A1338" s="27">
        <v>1336</v>
      </c>
      <c r="B1338" s="29">
        <v>7079874</v>
      </c>
      <c r="C1338" s="29" t="str">
        <f ca="1">IFERROR(__xludf.DUMMYFUNCTION("GOOGLETRANSLATE(C1363,""en"",""hr"")"),"Cijev")</f>
        <v>Cijev</v>
      </c>
      <c r="D1338" s="28" t="s">
        <v>11</v>
      </c>
      <c r="E1338" s="29">
        <v>1</v>
      </c>
      <c r="F1338" s="17"/>
    </row>
    <row r="1339" spans="1:9" ht="25.5" customHeight="1" x14ac:dyDescent="0.2">
      <c r="A1339" s="27">
        <v>1337</v>
      </c>
      <c r="B1339" s="29">
        <v>7079875</v>
      </c>
      <c r="C1339" s="29" t="str">
        <f ca="1">IFERROR(__xludf.DUMMYFUNCTION("GOOGLETRANSLATE(C4632,""en"",""hr"")"),"Crijevo")</f>
        <v>Crijevo</v>
      </c>
      <c r="D1339" s="28" t="s">
        <v>11</v>
      </c>
      <c r="E1339" s="29">
        <v>1</v>
      </c>
      <c r="F1339" s="17"/>
    </row>
    <row r="1340" spans="1:9" ht="25.5" customHeight="1" x14ac:dyDescent="0.2">
      <c r="A1340" s="27">
        <v>1338</v>
      </c>
      <c r="B1340" s="29">
        <v>7079877</v>
      </c>
      <c r="C1340" s="29" t="str">
        <f ca="1">IFERROR(__xludf.DUMMYFUNCTION("GOOGLETRANSLATE(C4630,""en"",""hr"")"),"Crijevo")</f>
        <v>Crijevo</v>
      </c>
      <c r="D1340" s="28" t="s">
        <v>11</v>
      </c>
      <c r="E1340" s="29">
        <v>1</v>
      </c>
      <c r="F1340" s="17"/>
    </row>
    <row r="1341" spans="1:9" ht="25.5" customHeight="1" x14ac:dyDescent="0.2">
      <c r="A1341" s="27">
        <v>1339</v>
      </c>
      <c r="B1341" s="29">
        <v>7079879</v>
      </c>
      <c r="C1341" s="29" t="str">
        <f ca="1">IFERROR(__xludf.DUMMYFUNCTION("GOOGLETRANSLATE(C1177,""en"",""hr"")"),"Držač")</f>
        <v>Držač</v>
      </c>
      <c r="D1341" s="28" t="s">
        <v>11</v>
      </c>
      <c r="E1341" s="29">
        <v>1</v>
      </c>
      <c r="F1341" s="17"/>
    </row>
    <row r="1342" spans="1:9" ht="25.5" customHeight="1" x14ac:dyDescent="0.2">
      <c r="A1342" s="27">
        <v>1340</v>
      </c>
      <c r="B1342" s="29">
        <v>7079924</v>
      </c>
      <c r="C1342" s="29" t="str">
        <f ca="1">IFERROR(__xludf.DUMMYFUNCTION("GOOGLETRANSLATE(C4919,""en"",""hr"")"),"Zaštita")</f>
        <v>Zaštita</v>
      </c>
      <c r="D1342" s="28" t="s">
        <v>11</v>
      </c>
      <c r="E1342" s="29">
        <v>1</v>
      </c>
      <c r="F1342" s="17"/>
      <c r="I1342" s="4" t="b">
        <f>INT(F1340*100)=(F1340*100)</f>
        <v>1</v>
      </c>
    </row>
    <row r="1343" spans="1:9" ht="25.5" customHeight="1" x14ac:dyDescent="0.2">
      <c r="A1343" s="27">
        <v>1341</v>
      </c>
      <c r="B1343" s="29">
        <v>7079929</v>
      </c>
      <c r="C1343" s="29" t="str">
        <f ca="1">IFERROR(__xludf.DUMMYFUNCTION("GOOGLETRANSLATE(C5816,""en"",""hr"")"),"Montažna ploča")</f>
        <v>Montažna ploča</v>
      </c>
      <c r="D1343" s="28" t="s">
        <v>11</v>
      </c>
      <c r="E1343" s="29">
        <v>1</v>
      </c>
      <c r="F1343" s="17"/>
    </row>
    <row r="1344" spans="1:9" ht="25.5" customHeight="1" x14ac:dyDescent="0.2">
      <c r="A1344" s="27">
        <v>1342</v>
      </c>
      <c r="B1344" s="29">
        <v>7079932</v>
      </c>
      <c r="C1344" s="29" t="str">
        <f ca="1">IFERROR(__xludf.DUMMYFUNCTION("GOOGLETRANSLATE(C5753,""en"",""hr"")"),"Montažna ploča")</f>
        <v>Montažna ploča</v>
      </c>
      <c r="D1344" s="28" t="s">
        <v>11</v>
      </c>
      <c r="E1344" s="29">
        <v>1</v>
      </c>
      <c r="F1344" s="17"/>
    </row>
    <row r="1345" spans="1:9" ht="25.5" customHeight="1" x14ac:dyDescent="0.2">
      <c r="A1345" s="27">
        <v>1343</v>
      </c>
      <c r="B1345" s="29">
        <v>7079951</v>
      </c>
      <c r="C1345" s="29" t="str">
        <f ca="1">IFERROR(__xludf.DUMMYFUNCTION("GOOGLETRANSLATE(C2228,""en"",""hr"")"),"Montažna prirubnica")</f>
        <v>Montažna prirubnica</v>
      </c>
      <c r="D1345" s="28" t="s">
        <v>11</v>
      </c>
      <c r="E1345" s="29">
        <v>1</v>
      </c>
      <c r="F1345" s="17"/>
      <c r="I1345" s="4" t="b">
        <f>INT(F1343*100)=(F1343*100)</f>
        <v>1</v>
      </c>
    </row>
    <row r="1346" spans="1:9" ht="25.5" customHeight="1" x14ac:dyDescent="0.2">
      <c r="A1346" s="27">
        <v>1344</v>
      </c>
      <c r="B1346" s="29">
        <v>7079954</v>
      </c>
      <c r="C1346" s="29" t="str">
        <f ca="1">IFERROR(__xludf.DUMMYFUNCTION("GOOGLETRANSLATE(C4939,""en"",""hr"")"),"Magnetna ploča")</f>
        <v>Magnetna ploča</v>
      </c>
      <c r="D1346" s="28" t="s">
        <v>11</v>
      </c>
      <c r="E1346" s="29">
        <v>1</v>
      </c>
      <c r="F1346" s="17"/>
    </row>
    <row r="1347" spans="1:9" ht="25.5" customHeight="1" x14ac:dyDescent="0.2">
      <c r="A1347" s="27">
        <v>1345</v>
      </c>
      <c r="B1347" s="29">
        <v>7079961</v>
      </c>
      <c r="C1347" s="29" t="str">
        <f ca="1">IFERROR(__xludf.DUMMYFUNCTION("GOOGLETRANSLATE(C4925,""en"",""hr"")"),"režanj")</f>
        <v>režanj</v>
      </c>
      <c r="D1347" s="28" t="s">
        <v>11</v>
      </c>
      <c r="E1347" s="29">
        <v>1</v>
      </c>
      <c r="F1347" s="17"/>
    </row>
    <row r="1348" spans="1:9" ht="25.5" customHeight="1" x14ac:dyDescent="0.2">
      <c r="A1348" s="27">
        <v>1346</v>
      </c>
      <c r="B1348" s="29">
        <v>7079969</v>
      </c>
      <c r="C1348" s="29" t="str">
        <f ca="1">IFERROR(__xludf.DUMMYFUNCTION("GOOGLETRANSLATE(C996,""en"",""hr"")"),"Držač")</f>
        <v>Držač</v>
      </c>
      <c r="D1348" s="28" t="s">
        <v>11</v>
      </c>
      <c r="E1348" s="29">
        <v>1</v>
      </c>
      <c r="F1348" s="17"/>
    </row>
    <row r="1349" spans="1:9" ht="25.5" customHeight="1" x14ac:dyDescent="0.2">
      <c r="A1349" s="27">
        <v>1347</v>
      </c>
      <c r="B1349" s="29">
        <v>7079970</v>
      </c>
      <c r="C1349" s="29" t="str">
        <f ca="1">IFERROR(__xludf.DUMMYFUNCTION("GOOGLETRANSLATE(C4920,""en"",""hr"")"),"Razmaknica")</f>
        <v>Razmaknica</v>
      </c>
      <c r="D1349" s="28" t="s">
        <v>11</v>
      </c>
      <c r="E1349" s="29">
        <v>1</v>
      </c>
      <c r="F1349" s="17"/>
      <c r="I1349" s="4" t="b">
        <f>INT(F1347*100)=(F1347*100)</f>
        <v>1</v>
      </c>
    </row>
    <row r="1350" spans="1:9" ht="25.5" customHeight="1" x14ac:dyDescent="0.2">
      <c r="A1350" s="27">
        <v>1348</v>
      </c>
      <c r="B1350" s="29">
        <v>7079983</v>
      </c>
      <c r="C1350" s="29" t="str">
        <f ca="1">IFERROR(__xludf.DUMMYFUNCTION("GOOGLETRANSLATE(C4994,""en"",""hr"")"),"Suuport")</f>
        <v>Suuport</v>
      </c>
      <c r="D1350" s="28" t="s">
        <v>11</v>
      </c>
      <c r="E1350" s="29">
        <v>1</v>
      </c>
      <c r="F1350" s="17"/>
    </row>
    <row r="1351" spans="1:9" ht="25.5" customHeight="1" x14ac:dyDescent="0.2">
      <c r="A1351" s="27">
        <v>1349</v>
      </c>
      <c r="B1351" s="29">
        <v>7079989</v>
      </c>
      <c r="C1351" s="29" t="str">
        <f ca="1">IFERROR(__xludf.DUMMYFUNCTION("GOOGLETRANSLATE(C664,""en"",""hr"")"),"Držač")</f>
        <v>Držač</v>
      </c>
      <c r="D1351" s="28" t="s">
        <v>11</v>
      </c>
      <c r="E1351" s="29">
        <v>1</v>
      </c>
      <c r="F1351" s="17"/>
    </row>
    <row r="1352" spans="1:9" ht="25.5" customHeight="1" x14ac:dyDescent="0.2">
      <c r="A1352" s="27">
        <v>1350</v>
      </c>
      <c r="B1352" s="29">
        <v>7079990</v>
      </c>
      <c r="C1352" s="29" t="str">
        <f ca="1">IFERROR(__xludf.DUMMYFUNCTION("GOOGLETRANSLATE(C655,""en"",""hr"")"),"Indikator preopterećenja kpl.")</f>
        <v>Indikator preopterećenja kpl.</v>
      </c>
      <c r="D1352" s="28" t="s">
        <v>11</v>
      </c>
      <c r="E1352" s="29">
        <v>1</v>
      </c>
      <c r="F1352" s="17"/>
    </row>
    <row r="1353" spans="1:9" ht="25.5" customHeight="1" x14ac:dyDescent="0.2">
      <c r="A1353" s="27">
        <v>1351</v>
      </c>
      <c r="B1353" s="29">
        <v>7080038</v>
      </c>
      <c r="C1353" s="29" t="str">
        <f ca="1">IFERROR(__xludf.DUMMYFUNCTION("GOOGLETRANSLATE(C1976,""en"",""hr"")"),"Podloška za pranje")</f>
        <v>Podloška za pranje</v>
      </c>
      <c r="D1353" s="28" t="s">
        <v>11</v>
      </c>
      <c r="E1353" s="29">
        <v>1</v>
      </c>
      <c r="F1353" s="17"/>
    </row>
    <row r="1354" spans="1:9" ht="25.5" customHeight="1" x14ac:dyDescent="0.2">
      <c r="A1354" s="27">
        <v>1352</v>
      </c>
      <c r="B1354" s="29">
        <v>7080069</v>
      </c>
      <c r="C1354" s="29" t="str">
        <f ca="1">IFERROR(__xludf.DUMMYFUNCTION("GOOGLETRANSLATE(C1174,""en"",""hr"")"),"Držač")</f>
        <v>Držač</v>
      </c>
      <c r="D1354" s="28" t="s">
        <v>11</v>
      </c>
      <c r="E1354" s="29">
        <v>1</v>
      </c>
      <c r="F1354" s="17"/>
    </row>
    <row r="1355" spans="1:9" ht="25.5" customHeight="1" x14ac:dyDescent="0.2">
      <c r="A1355" s="27">
        <v>1353</v>
      </c>
      <c r="B1355" s="29">
        <v>7080070</v>
      </c>
      <c r="C1355" s="29" t="str">
        <f ca="1">IFERROR(__xludf.DUMMYFUNCTION("GOOGLETRANSLATE(C1172,""en"",""hr"")"),"Disk udaljenosti")</f>
        <v>Disk udaljenosti</v>
      </c>
      <c r="D1355" s="28" t="s">
        <v>11</v>
      </c>
      <c r="E1355" s="29">
        <v>1</v>
      </c>
      <c r="F1355" s="17"/>
    </row>
    <row r="1356" spans="1:9" ht="25.5" customHeight="1" x14ac:dyDescent="0.2">
      <c r="A1356" s="27">
        <v>1354</v>
      </c>
      <c r="B1356" s="29">
        <v>7080077</v>
      </c>
      <c r="C1356" s="29" t="str">
        <f ca="1">IFERROR(__xludf.DUMMYFUNCTION("GOOGLETRANSLATE(C5416,""en"",""hr"")"),"Zaključavanje pojasa")</f>
        <v>Zaključavanje pojasa</v>
      </c>
      <c r="D1356" s="28" t="s">
        <v>11</v>
      </c>
      <c r="E1356" s="29">
        <v>1</v>
      </c>
      <c r="F1356" s="17"/>
    </row>
    <row r="1357" spans="1:9" ht="25.5" customHeight="1" x14ac:dyDescent="0.2">
      <c r="A1357" s="27">
        <v>1355</v>
      </c>
      <c r="B1357" s="29">
        <v>7080090</v>
      </c>
      <c r="C1357" s="29" t="str">
        <f ca="1">IFERROR(__xludf.DUMMYFUNCTION("GOOGLETRANSLATE(C1367,""en"",""hr"")"),"Držač")</f>
        <v>Držač</v>
      </c>
      <c r="D1357" s="28" t="s">
        <v>11</v>
      </c>
      <c r="E1357" s="29">
        <v>1</v>
      </c>
      <c r="F1357" s="17"/>
    </row>
    <row r="1358" spans="1:9" ht="25.5" customHeight="1" x14ac:dyDescent="0.2">
      <c r="A1358" s="27">
        <v>1356</v>
      </c>
      <c r="B1358" s="29">
        <v>7080106</v>
      </c>
      <c r="C1358" s="29" t="str">
        <f ca="1">IFERROR(__xludf.DUMMYFUNCTION("GOOGLETRANSLATE(C4603,""en"",""hr"")"),"Ploča za pričvršćivanje")</f>
        <v>Ploča za pričvršćivanje</v>
      </c>
      <c r="D1358" s="28" t="s">
        <v>11</v>
      </c>
      <c r="E1358" s="29">
        <v>1</v>
      </c>
      <c r="F1358" s="17"/>
    </row>
    <row r="1359" spans="1:9" ht="25.5" customHeight="1" x14ac:dyDescent="0.2">
      <c r="A1359" s="27">
        <v>1357</v>
      </c>
      <c r="B1359" s="29">
        <v>7080151</v>
      </c>
      <c r="C1359" s="29" t="str">
        <f ca="1">IFERROR(__xludf.DUMMYFUNCTION("GOOGLETRANSLATE(C5125,""en"",""hr"")"),"Montažna ploča, lijevo")</f>
        <v>Montažna ploča, lijevo</v>
      </c>
      <c r="D1359" s="28" t="s">
        <v>11</v>
      </c>
      <c r="E1359" s="29">
        <v>1</v>
      </c>
      <c r="F1359" s="17"/>
    </row>
    <row r="1360" spans="1:9" ht="25.5" customHeight="1" x14ac:dyDescent="0.2">
      <c r="A1360" s="27">
        <v>1358</v>
      </c>
      <c r="B1360" s="29">
        <v>7080152</v>
      </c>
      <c r="C1360" s="29" t="str">
        <f ca="1">IFERROR(__xludf.DUMMYFUNCTION("GOOGLETRANSLATE(C5128,""en"",""hr"")"),"Montažna ploča, desno")</f>
        <v>Montažna ploča, desno</v>
      </c>
      <c r="D1360" s="28" t="s">
        <v>11</v>
      </c>
      <c r="E1360" s="29">
        <v>1</v>
      </c>
      <c r="F1360" s="17"/>
    </row>
    <row r="1361" spans="1:9" ht="25.5" customHeight="1" x14ac:dyDescent="0.2">
      <c r="A1361" s="27">
        <v>1359</v>
      </c>
      <c r="B1361" s="29">
        <v>7080220</v>
      </c>
      <c r="C1361" s="29" t="str">
        <f ca="1">IFERROR(__xludf.DUMMYFUNCTION("GOOGLETRANSLATE(C328,""en"",""hr"")"),"Višenamjenska podrška")</f>
        <v>Višenamjenska podrška</v>
      </c>
      <c r="D1361" s="28" t="s">
        <v>11</v>
      </c>
      <c r="E1361" s="29">
        <v>1</v>
      </c>
      <c r="F1361" s="17"/>
    </row>
    <row r="1362" spans="1:9" ht="25.5" customHeight="1" x14ac:dyDescent="0.2">
      <c r="A1362" s="27">
        <v>1360</v>
      </c>
      <c r="B1362" s="29">
        <v>7080252</v>
      </c>
      <c r="C1362" s="29" t="str">
        <f ca="1">IFERROR(__xludf.DUMMYFUNCTION("GOOGLETRANSLATE(C3144,""en"",""hr"")"),"Prirubnica")</f>
        <v>Prirubnica</v>
      </c>
      <c r="D1362" s="28" t="s">
        <v>11</v>
      </c>
      <c r="E1362" s="29">
        <v>1</v>
      </c>
      <c r="F1362" s="17"/>
    </row>
    <row r="1363" spans="1:9" ht="25.5" customHeight="1" x14ac:dyDescent="0.2">
      <c r="A1363" s="27">
        <v>1361</v>
      </c>
      <c r="B1363" s="29">
        <v>7080307</v>
      </c>
      <c r="C1363" s="29" t="str">
        <f ca="1">IFERROR(__xludf.DUMMYFUNCTION("GOOGLETRANSLATE(C3975,""en"",""hr"")"),"Držač")</f>
        <v>Držač</v>
      </c>
      <c r="D1363" s="28" t="s">
        <v>11</v>
      </c>
      <c r="E1363" s="29">
        <v>1</v>
      </c>
      <c r="F1363" s="17"/>
    </row>
    <row r="1364" spans="1:9" ht="25.5" customHeight="1" x14ac:dyDescent="0.2">
      <c r="A1364" s="27">
        <v>1362</v>
      </c>
      <c r="B1364" s="29">
        <v>7080404</v>
      </c>
      <c r="C1364" s="29" t="str">
        <f ca="1">IFERROR(__xludf.DUMMYFUNCTION("GOOGLETRANSLATE(C6288,""en"",""hr"")"),"Kabelski svežanj (+FO-FA)")</f>
        <v>Kabelski svežanj (+FO-FA)</v>
      </c>
      <c r="D1364" s="28" t="s">
        <v>11</v>
      </c>
      <c r="E1364" s="29">
        <v>1</v>
      </c>
      <c r="F1364" s="17"/>
    </row>
    <row r="1365" spans="1:9" ht="25.5" customHeight="1" x14ac:dyDescent="0.2">
      <c r="A1365" s="27">
        <v>1363</v>
      </c>
      <c r="B1365" s="29">
        <v>7080476</v>
      </c>
      <c r="C1365" s="29" t="str">
        <f ca="1">IFERROR(__xludf.DUMMYFUNCTION("GOOGLETRANSLATE(C5718,""en"",""hr"")"),"Metalni lim")</f>
        <v>Metalni lim</v>
      </c>
      <c r="D1365" s="28" t="s">
        <v>11</v>
      </c>
      <c r="E1365" s="29">
        <v>1</v>
      </c>
      <c r="F1365" s="17"/>
    </row>
    <row r="1366" spans="1:9" ht="25.5" customHeight="1" x14ac:dyDescent="0.2">
      <c r="A1366" s="27">
        <v>1364</v>
      </c>
      <c r="B1366" s="29">
        <v>7080481</v>
      </c>
      <c r="C1366" s="29" t="str">
        <f ca="1">IFERROR(__xludf.DUMMYFUNCTION("GOOGLETRANSLATE(C465,""en"",""hr"")"),"Vučni krak FA lijevo")</f>
        <v>Vučni krak FA lijevo</v>
      </c>
      <c r="D1366" s="28" t="s">
        <v>11</v>
      </c>
      <c r="E1366" s="29">
        <v>1</v>
      </c>
      <c r="F1366" s="17"/>
    </row>
    <row r="1367" spans="1:9" ht="25.5" customHeight="1" x14ac:dyDescent="0.2">
      <c r="A1367" s="27">
        <v>1365</v>
      </c>
      <c r="B1367" s="29">
        <v>7080482</v>
      </c>
      <c r="C1367" s="29" t="str">
        <f ca="1">IFERROR(__xludf.DUMMYFUNCTION("GOOGLETRANSLATE(C466,""en"",""hr"")"),"Vučni krak FA desno")</f>
        <v>Vučni krak FA desno</v>
      </c>
      <c r="D1367" s="28" t="s">
        <v>11</v>
      </c>
      <c r="E1367" s="29">
        <v>1</v>
      </c>
      <c r="F1367" s="17"/>
    </row>
    <row r="1368" spans="1:9" ht="25.5" customHeight="1" x14ac:dyDescent="0.2">
      <c r="A1368" s="27">
        <v>1366</v>
      </c>
      <c r="B1368" s="29">
        <v>7080490</v>
      </c>
      <c r="C1368" s="29" t="str">
        <f ca="1">IFERROR(__xludf.DUMMYFUNCTION("GOOGLETRANSLATE(C454,""en"",""hr"")"),"Ležaj prednje kabine")</f>
        <v>Ležaj prednje kabine</v>
      </c>
      <c r="D1368" s="28" t="s">
        <v>11</v>
      </c>
      <c r="E1368" s="29">
        <v>1</v>
      </c>
      <c r="F1368" s="17"/>
      <c r="I1368" s="4" t="b">
        <f>INT(F1366*100)=(F1366*100)</f>
        <v>1</v>
      </c>
    </row>
    <row r="1369" spans="1:9" ht="25.5" customHeight="1" x14ac:dyDescent="0.2">
      <c r="A1369" s="27">
        <v>1367</v>
      </c>
      <c r="B1369" s="29">
        <v>7080635</v>
      </c>
      <c r="C1369" s="29" t="str">
        <f ca="1">IFERROR(__xludf.DUMMYFUNCTION("GOOGLETRANSLATE(C3133,""en"",""hr"")"),"Zagrada")</f>
        <v>Zagrada</v>
      </c>
      <c r="D1369" s="28" t="s">
        <v>11</v>
      </c>
      <c r="E1369" s="29">
        <v>1</v>
      </c>
      <c r="F1369" s="17"/>
    </row>
    <row r="1370" spans="1:9" ht="25.5" customHeight="1" x14ac:dyDescent="0.2">
      <c r="A1370" s="27">
        <v>1368</v>
      </c>
      <c r="B1370" s="29">
        <v>7080656</v>
      </c>
      <c r="C1370" s="29" t="str">
        <f ca="1">IFERROR(__xludf.DUMMYFUNCTION("GOOGLETRANSLATE(C1108,""en"",""hr"")"),"Ispušna cijev")</f>
        <v>Ispušna cijev</v>
      </c>
      <c r="D1370" s="28" t="s">
        <v>11</v>
      </c>
      <c r="E1370" s="29">
        <v>1</v>
      </c>
      <c r="F1370" s="17"/>
    </row>
    <row r="1371" spans="1:9" ht="25.5" customHeight="1" x14ac:dyDescent="0.2">
      <c r="A1371" s="27">
        <v>1369</v>
      </c>
      <c r="B1371" s="29">
        <v>7080693</v>
      </c>
      <c r="C1371" s="29" t="str">
        <f ca="1">IFERROR(__xludf.DUMMYFUNCTION("GOOGLETRANSLATE(C5472,""en"",""hr"")"),"Sigurnosni pojas u 2 točke")</f>
        <v>Sigurnosni pojas u 2 točke</v>
      </c>
      <c r="D1371" s="28" t="s">
        <v>11</v>
      </c>
      <c r="E1371" s="29">
        <v>1</v>
      </c>
      <c r="F1371" s="17"/>
      <c r="I1371" s="4" t="b">
        <f>INT(F1369*100)=(F1369*100)</f>
        <v>1</v>
      </c>
    </row>
    <row r="1372" spans="1:9" ht="25.5" customHeight="1" x14ac:dyDescent="0.2">
      <c r="A1372" s="27">
        <v>1370</v>
      </c>
      <c r="B1372" s="29">
        <v>7080703</v>
      </c>
      <c r="C1372" s="29" t="str">
        <f ca="1">IFERROR(__xludf.DUMMYFUNCTION("GOOGLETRANSLATE(C5476,""en"",""hr"")"),"Kopica za pojas 200m")</f>
        <v>Kopica za pojas 200m</v>
      </c>
      <c r="D1372" s="28" t="s">
        <v>11</v>
      </c>
      <c r="E1372" s="29">
        <v>1</v>
      </c>
      <c r="F1372" s="17"/>
    </row>
    <row r="1373" spans="1:9" ht="25.5" customHeight="1" x14ac:dyDescent="0.2">
      <c r="A1373" s="27">
        <v>1371</v>
      </c>
      <c r="B1373" s="29">
        <v>7080892</v>
      </c>
      <c r="C1373" s="29" t="str">
        <f ca="1">IFERROR(__xludf.DUMMYFUNCTION("GOOGLETRANSLATE(C708,""en"",""hr"")"),"Pogon na kotačima")</f>
        <v>Pogon na kotačima</v>
      </c>
      <c r="D1373" s="28" t="s">
        <v>11</v>
      </c>
      <c r="E1373" s="29">
        <v>1</v>
      </c>
      <c r="F1373" s="17"/>
    </row>
    <row r="1374" spans="1:9" ht="25.5" customHeight="1" x14ac:dyDescent="0.2">
      <c r="A1374" s="27">
        <v>1372</v>
      </c>
      <c r="B1374" s="29">
        <v>7080904</v>
      </c>
      <c r="C1374" s="29" t="str">
        <f ca="1">IFERROR(__xludf.DUMMYFUNCTION("GOOGLETRANSLATE(C1553,""en"",""hr"")"),"Rasterećenje naprezanja")</f>
        <v>Rasterećenje naprezanja</v>
      </c>
      <c r="D1374" s="28" t="s">
        <v>11</v>
      </c>
      <c r="E1374" s="29">
        <v>1</v>
      </c>
      <c r="F1374" s="17"/>
    </row>
    <row r="1375" spans="1:9" ht="25.5" customHeight="1" x14ac:dyDescent="0.2">
      <c r="A1375" s="27">
        <v>1373</v>
      </c>
      <c r="B1375" s="29">
        <v>7080979</v>
      </c>
      <c r="C1375" s="29" t="str">
        <f ca="1">IFERROR(__xludf.DUMMYFUNCTION("GOOGLETRANSLATE(C4812,""en"",""hr"")"),"Držač")</f>
        <v>Držač</v>
      </c>
      <c r="D1375" s="28" t="s">
        <v>11</v>
      </c>
      <c r="E1375" s="29">
        <v>1</v>
      </c>
      <c r="F1375" s="17"/>
      <c r="I1375" s="4" t="b">
        <f>INT(F1373*100)=(F1373*100)</f>
        <v>1</v>
      </c>
    </row>
    <row r="1376" spans="1:9" ht="25.5" customHeight="1" x14ac:dyDescent="0.2">
      <c r="A1376" s="27">
        <v>1374</v>
      </c>
      <c r="B1376" s="29">
        <v>7080981</v>
      </c>
      <c r="C1376" s="29" t="str">
        <f ca="1">IFERROR(__xludf.DUMMYFUNCTION("GOOGLETRANSLATE(C4813,""en"",""hr"")"),"Držač")</f>
        <v>Držač</v>
      </c>
      <c r="D1376" s="28" t="s">
        <v>11</v>
      </c>
      <c r="E1376" s="29">
        <v>1</v>
      </c>
      <c r="F1376" s="17"/>
    </row>
    <row r="1377" spans="1:6" ht="25.5" customHeight="1" x14ac:dyDescent="0.2">
      <c r="A1377" s="27">
        <v>1375</v>
      </c>
      <c r="B1377" s="29">
        <v>7081047</v>
      </c>
      <c r="C1377" s="29" t="str">
        <f ca="1">IFERROR(__xludf.DUMMYFUNCTION("GOOGLETRANSLATE(C352,""en"",""hr"")"),"Felge 6Jx16 ET68")</f>
        <v>Felge 6Jx16 ET68</v>
      </c>
      <c r="D1377" s="28" t="s">
        <v>11</v>
      </c>
      <c r="E1377" s="29">
        <v>1</v>
      </c>
      <c r="F1377" s="17"/>
    </row>
    <row r="1378" spans="1:6" ht="25.5" customHeight="1" x14ac:dyDescent="0.2">
      <c r="A1378" s="27">
        <v>1376</v>
      </c>
      <c r="B1378" s="29">
        <v>7081052</v>
      </c>
      <c r="C1378" s="29" t="str">
        <f ca="1">IFERROR(__xludf.DUMMYFUNCTION("GOOGLETRANSLATE(C400,""en"",""hr"")"),"Felge 8Jx16 ET60")</f>
        <v>Felge 8Jx16 ET60</v>
      </c>
      <c r="D1378" s="28" t="s">
        <v>11</v>
      </c>
      <c r="E1378" s="29">
        <v>1</v>
      </c>
      <c r="F1378" s="17"/>
    </row>
    <row r="1379" spans="1:6" ht="25.5" customHeight="1" x14ac:dyDescent="0.2">
      <c r="A1379" s="27">
        <v>1377</v>
      </c>
      <c r="B1379" s="29">
        <v>7081112</v>
      </c>
      <c r="C1379" s="29" t="str">
        <f ca="1">IFERROR(__xludf.DUMMYFUNCTION("GOOGLETRANSLATE(C347,""en"",""hr"")"),"Felge 215/75 R16, 4x2, Kenda")</f>
        <v>Felge 215/75 R16, 4x2, Kenda</v>
      </c>
      <c r="D1379" s="28" t="s">
        <v>11</v>
      </c>
      <c r="E1379" s="29">
        <v>1</v>
      </c>
      <c r="F1379" s="17"/>
    </row>
    <row r="1380" spans="1:6" ht="25.5" customHeight="1" x14ac:dyDescent="0.2">
      <c r="A1380" s="27">
        <v>1378</v>
      </c>
      <c r="B1380" s="29">
        <v>7081115</v>
      </c>
      <c r="C1380" s="29" t="str">
        <f ca="1">IFERROR(__xludf.DUMMYFUNCTION("GOOGLETRANSLATE(C380,""en"",""hr"")"),"Kotač 255/65 R16, Yokohama")</f>
        <v>Kotač 255/65 R16, Yokohama</v>
      </c>
      <c r="D1380" s="28" t="s">
        <v>11</v>
      </c>
      <c r="E1380" s="29">
        <v>1</v>
      </c>
      <c r="F1380" s="17"/>
    </row>
    <row r="1381" spans="1:6" ht="25.5" customHeight="1" x14ac:dyDescent="0.2">
      <c r="A1381" s="27">
        <v>1379</v>
      </c>
      <c r="B1381" s="29">
        <v>7081133</v>
      </c>
      <c r="C1381" s="29" t="str">
        <f ca="1">IFERROR(__xludf.DUMMYFUNCTION("GOOGLETRANSLATE(C3156,""en"",""hr"")"),"Držač")</f>
        <v>Držač</v>
      </c>
      <c r="D1381" s="28" t="s">
        <v>11</v>
      </c>
      <c r="E1381" s="29">
        <v>1</v>
      </c>
      <c r="F1381" s="17"/>
    </row>
    <row r="1382" spans="1:6" ht="25.5" customHeight="1" x14ac:dyDescent="0.2">
      <c r="A1382" s="27">
        <v>1380</v>
      </c>
      <c r="B1382" s="29">
        <v>7081229</v>
      </c>
      <c r="C1382" s="29" t="str">
        <f ca="1">IFERROR(__xludf.DUMMYFUNCTION("GOOGLETRANSLATE(C4436,""en"",""hr"")"),"Stalak za izmjenjivo vozilo")</f>
        <v>Stalak za izmjenjivo vozilo</v>
      </c>
      <c r="D1382" s="28" t="s">
        <v>11</v>
      </c>
      <c r="E1382" s="29">
        <v>1</v>
      </c>
      <c r="F1382" s="17"/>
    </row>
    <row r="1383" spans="1:6" ht="25.5" customHeight="1" x14ac:dyDescent="0.2">
      <c r="A1383" s="27">
        <v>1381</v>
      </c>
      <c r="B1383" s="29">
        <v>7081386</v>
      </c>
      <c r="C1383" s="29" t="str">
        <f ca="1">IFERROR(__xludf.DUMMYFUNCTION("GOOGLETRANSLATE(C4422,""en"",""hr"")"),"Bock")</f>
        <v>Bock</v>
      </c>
      <c r="D1383" s="28" t="s">
        <v>11</v>
      </c>
      <c r="E1383" s="29">
        <v>1</v>
      </c>
      <c r="F1383" s="17"/>
    </row>
    <row r="1384" spans="1:6" ht="25.5" customHeight="1" x14ac:dyDescent="0.2">
      <c r="A1384" s="27">
        <v>1382</v>
      </c>
      <c r="B1384" s="29">
        <v>7081499</v>
      </c>
      <c r="C1384" s="29" t="str">
        <f ca="1">IFERROR(__xludf.DUMMYFUNCTION("GOOGLETRANSLATE(C5143,""en"",""hr"")"),"Držač")</f>
        <v>Držač</v>
      </c>
      <c r="D1384" s="28" t="s">
        <v>11</v>
      </c>
      <c r="E1384" s="29">
        <v>1</v>
      </c>
      <c r="F1384" s="17"/>
    </row>
    <row r="1385" spans="1:6" ht="25.5" customHeight="1" x14ac:dyDescent="0.2">
      <c r="A1385" s="27">
        <v>1383</v>
      </c>
      <c r="B1385" s="29">
        <v>7081582</v>
      </c>
      <c r="C1385" s="29" t="str">
        <f ca="1">IFERROR(__xludf.DUMMYFUNCTION("GOOGLETRANSLATE(C950,""en"",""hr"")"),"Držač")</f>
        <v>Držač</v>
      </c>
      <c r="D1385" s="28" t="s">
        <v>11</v>
      </c>
      <c r="E1385" s="29">
        <v>1</v>
      </c>
      <c r="F1385" s="17"/>
    </row>
    <row r="1386" spans="1:6" ht="25.5" customHeight="1" x14ac:dyDescent="0.2">
      <c r="A1386" s="27">
        <v>1384</v>
      </c>
      <c r="B1386" s="29">
        <v>7081584</v>
      </c>
      <c r="C1386" s="29" t="str">
        <f ca="1">IFERROR(__xludf.DUMMYFUNCTION("GOOGLETRANSLATE(C956,""en"",""hr"")"),"Cijev")</f>
        <v>Cijev</v>
      </c>
      <c r="D1386" s="28" t="s">
        <v>11</v>
      </c>
      <c r="E1386" s="29">
        <v>1</v>
      </c>
      <c r="F1386" s="17"/>
    </row>
    <row r="1387" spans="1:6" ht="25.5" customHeight="1" x14ac:dyDescent="0.2">
      <c r="A1387" s="27">
        <v>1385</v>
      </c>
      <c r="B1387" s="29">
        <v>7081586</v>
      </c>
      <c r="C1387" s="29" t="str">
        <f ca="1">IFERROR(__xludf.DUMMYFUNCTION("GOOGLETRANSLATE(C1191,""en"",""hr"")"),"Cijev")</f>
        <v>Cijev</v>
      </c>
      <c r="D1387" s="28" t="s">
        <v>11</v>
      </c>
      <c r="E1387" s="29">
        <v>1</v>
      </c>
      <c r="F1387" s="17"/>
    </row>
    <row r="1388" spans="1:6" ht="25.5" customHeight="1" x14ac:dyDescent="0.2">
      <c r="A1388" s="27">
        <v>1386</v>
      </c>
      <c r="B1388" s="29">
        <v>7081643</v>
      </c>
      <c r="C1388" s="29" t="str">
        <f ca="1">IFERROR(__xludf.DUMMYFUNCTION("GOOGLETRANSLATE(C1197,""en"",""hr"")"),"Mjerač ulja")</f>
        <v>Mjerač ulja</v>
      </c>
      <c r="D1388" s="28" t="s">
        <v>11</v>
      </c>
      <c r="E1388" s="29">
        <v>1</v>
      </c>
      <c r="F1388" s="17"/>
    </row>
    <row r="1389" spans="1:6" ht="25.5" customHeight="1" x14ac:dyDescent="0.2">
      <c r="A1389" s="27">
        <v>1387</v>
      </c>
      <c r="B1389" s="29">
        <v>7081650</v>
      </c>
      <c r="C1389" s="29" t="str">
        <f ca="1">IFERROR(__xludf.DUMMYFUNCTION("GOOGLETRANSLATE(C960,""en"",""hr"")"),"Mjerač ulja")</f>
        <v>Mjerač ulja</v>
      </c>
      <c r="D1389" s="28" t="s">
        <v>11</v>
      </c>
      <c r="E1389" s="29">
        <v>1</v>
      </c>
      <c r="F1389" s="17"/>
    </row>
    <row r="1390" spans="1:6" ht="25.5" customHeight="1" x14ac:dyDescent="0.2">
      <c r="A1390" s="27">
        <v>1388</v>
      </c>
      <c r="B1390" s="29">
        <v>7081786</v>
      </c>
      <c r="C1390" s="29" t="str">
        <f ca="1">IFERROR(__xludf.DUMMYFUNCTION("GOOGLETRANSLATE(C356,""en"",""hr"")"),"Kotač 215/75 R16, 4x4, RA")</f>
        <v>Kotač 215/75 R16, 4x4, RA</v>
      </c>
      <c r="D1390" s="28" t="s">
        <v>11</v>
      </c>
      <c r="E1390" s="29">
        <v>1</v>
      </c>
      <c r="F1390" s="17"/>
    </row>
    <row r="1391" spans="1:6" ht="25.5" customHeight="1" x14ac:dyDescent="0.2">
      <c r="A1391" s="27">
        <v>1389</v>
      </c>
      <c r="B1391" s="29">
        <v>7081787</v>
      </c>
      <c r="C1391" s="29" t="str">
        <f ca="1">IFERROR(__xludf.DUMMYFUNCTION("GOOGLETRANSLATE(C354,""en"",""hr"")"),"Kotač 215/75 R16, 4x4, FA, Kenda")</f>
        <v>Kotač 215/75 R16, 4x4, FA, Kenda</v>
      </c>
      <c r="D1391" s="28" t="s">
        <v>11</v>
      </c>
      <c r="E1391" s="29">
        <v>1</v>
      </c>
      <c r="F1391" s="17"/>
    </row>
    <row r="1392" spans="1:6" ht="25.5" customHeight="1" x14ac:dyDescent="0.2">
      <c r="A1392" s="27">
        <v>1390</v>
      </c>
      <c r="B1392" s="29">
        <v>7081950</v>
      </c>
      <c r="C1392" s="29" t="str">
        <f ca="1">IFERROR(__xludf.DUMMYFUNCTION("GOOGLETRANSLATE(C467,""en"",""hr"")"),"Potrošna ploča")</f>
        <v>Potrošna ploča</v>
      </c>
      <c r="D1392" s="28" t="s">
        <v>11</v>
      </c>
      <c r="E1392" s="29">
        <v>1</v>
      </c>
      <c r="F1392" s="17"/>
    </row>
    <row r="1393" spans="1:9" ht="25.5" customHeight="1" x14ac:dyDescent="0.2">
      <c r="A1393" s="27">
        <v>1391</v>
      </c>
      <c r="B1393" s="29">
        <v>7081959</v>
      </c>
      <c r="C1393" s="29" t="str">
        <f ca="1">IFERROR(__xludf.DUMMYFUNCTION("GOOGLETRANSLATE(C2773,""en"",""hr"")"),"Razmaknica")</f>
        <v>Razmaknica</v>
      </c>
      <c r="D1393" s="28" t="s">
        <v>11</v>
      </c>
      <c r="E1393" s="29">
        <v>1</v>
      </c>
      <c r="F1393" s="17"/>
      <c r="I1393" s="4" t="b">
        <f>INT(F1391*100)=(F1391*100)</f>
        <v>1</v>
      </c>
    </row>
    <row r="1394" spans="1:9" ht="25.5" customHeight="1" x14ac:dyDescent="0.2">
      <c r="A1394" s="27">
        <v>1392</v>
      </c>
      <c r="B1394" s="29">
        <v>7082073</v>
      </c>
      <c r="C1394" s="29" t="str">
        <f ca="1">IFERROR(__xludf.DUMMYFUNCTION("GOOGLETRANSLATE(C5240,""en"",""hr"")"),"Naslon za ruke CityCat W20")</f>
        <v>Naslon za ruke CityCat W20</v>
      </c>
      <c r="D1394" s="28" t="s">
        <v>11</v>
      </c>
      <c r="E1394" s="29">
        <v>1</v>
      </c>
      <c r="F1394" s="17"/>
    </row>
    <row r="1395" spans="1:9" ht="25.5" customHeight="1" x14ac:dyDescent="0.2">
      <c r="A1395" s="27">
        <v>1393</v>
      </c>
      <c r="B1395" s="29">
        <v>7082171</v>
      </c>
      <c r="C1395" s="29" t="str">
        <f ca="1">IFERROR(__xludf.DUMMYFUNCTION("GOOGLETRANSLATE(C6850,""en"",""hr"")"),"Držač")</f>
        <v>Držač</v>
      </c>
      <c r="D1395" s="28" t="s">
        <v>11</v>
      </c>
      <c r="E1395" s="29">
        <v>1</v>
      </c>
      <c r="F1395" s="17"/>
    </row>
    <row r="1396" spans="1:9" ht="25.5" customHeight="1" x14ac:dyDescent="0.2">
      <c r="A1396" s="27">
        <v>1394</v>
      </c>
      <c r="B1396" s="29">
        <v>7082194</v>
      </c>
      <c r="C1396" s="29" t="str">
        <f ca="1">IFERROR(__xludf.DUMMYFUNCTION("GOOGLETRANSLATE(C6853,""en"",""hr"")"),"Okvir")</f>
        <v>Okvir</v>
      </c>
      <c r="D1396" s="28" t="s">
        <v>11</v>
      </c>
      <c r="E1396" s="29">
        <v>1</v>
      </c>
      <c r="F1396" s="17"/>
      <c r="I1396" s="4" t="b">
        <f>INT(F1041*100)=(F1041*100)</f>
        <v>1</v>
      </c>
    </row>
    <row r="1397" spans="1:9" ht="25.5" customHeight="1" x14ac:dyDescent="0.2">
      <c r="A1397" s="27">
        <v>1395</v>
      </c>
      <c r="B1397" s="29">
        <v>7082195</v>
      </c>
      <c r="C1397" s="29" t="str">
        <f ca="1">IFERROR(__xludf.DUMMYFUNCTION("GOOGLETRANSLATE(C6846,""en"",""hr"")"),"Podloška za zaključavanje")</f>
        <v>Podloška za zaključavanje</v>
      </c>
      <c r="D1397" s="28" t="s">
        <v>11</v>
      </c>
      <c r="E1397" s="29">
        <v>1</v>
      </c>
      <c r="F1397" s="17"/>
    </row>
    <row r="1398" spans="1:9" ht="25.5" customHeight="1" x14ac:dyDescent="0.2">
      <c r="A1398" s="27">
        <v>1396</v>
      </c>
      <c r="B1398" s="29">
        <v>7082202</v>
      </c>
      <c r="C1398" s="29" t="str">
        <f ca="1">IFERROR(__xludf.DUMMYFUNCTION("GOOGLETRANSLATE(C6854,""en"",""hr"")"),"Podešivač")</f>
        <v>Podešivač</v>
      </c>
      <c r="D1398" s="28" t="s">
        <v>11</v>
      </c>
      <c r="E1398" s="29">
        <v>1</v>
      </c>
      <c r="F1398" s="17"/>
    </row>
    <row r="1399" spans="1:9" ht="25.5" customHeight="1" x14ac:dyDescent="0.2">
      <c r="A1399" s="27">
        <v>1397</v>
      </c>
      <c r="B1399" s="29">
        <v>7082216</v>
      </c>
      <c r="C1399" s="29" t="str">
        <f ca="1">IFERROR(__xludf.DUMMYFUNCTION("GOOGLETRANSLATE(C3269,""en"",""hr"")"),"Zavoj cijevi")</f>
        <v>Zavoj cijevi</v>
      </c>
      <c r="D1399" s="28" t="s">
        <v>11</v>
      </c>
      <c r="E1399" s="29">
        <v>1</v>
      </c>
      <c r="F1399" s="17"/>
    </row>
    <row r="1400" spans="1:9" ht="25.5" customHeight="1" x14ac:dyDescent="0.2">
      <c r="A1400" s="27">
        <v>1398</v>
      </c>
      <c r="B1400" s="29">
        <v>7082219</v>
      </c>
      <c r="C1400" s="29" t="str">
        <f ca="1">IFERROR(__xludf.DUMMYFUNCTION("GOOGLETRANSLATE(C3268,""en"",""hr"")"),"Nosač usisne cijevi")</f>
        <v>Nosač usisne cijevi</v>
      </c>
      <c r="D1400" s="28" t="s">
        <v>11</v>
      </c>
      <c r="E1400" s="29">
        <v>1</v>
      </c>
      <c r="F1400" s="17"/>
      <c r="I1400" s="4" t="b">
        <f>INT(F1398*100)=(F1398*100)</f>
        <v>1</v>
      </c>
    </row>
    <row r="1401" spans="1:9" ht="25.5" customHeight="1" x14ac:dyDescent="0.2">
      <c r="A1401" s="27">
        <v>1399</v>
      </c>
      <c r="B1401" s="29">
        <v>7082222</v>
      </c>
      <c r="C1401" s="29" t="str">
        <f ca="1">IFERROR(__xludf.DUMMYFUNCTION("GOOGLETRANSLATE(C1524,""en"",""hr"")"),"Kabel Kompresor klima uređaja DC")</f>
        <v>Kabel Kompresor klima uređaja DC</v>
      </c>
      <c r="D1401" s="28" t="s">
        <v>11</v>
      </c>
      <c r="E1401" s="29">
        <v>1</v>
      </c>
      <c r="F1401" s="17"/>
    </row>
    <row r="1402" spans="1:9" ht="25.5" customHeight="1" x14ac:dyDescent="0.2">
      <c r="A1402" s="27">
        <v>1400</v>
      </c>
      <c r="B1402" s="29">
        <v>7082225</v>
      </c>
      <c r="C1402" s="29" t="str">
        <f ca="1">IFERROR(__xludf.DUMMYFUNCTION("GOOGLETRANSLATE(C3270,""en"",""hr"")"),"Brzo pričvršćivanje")</f>
        <v>Brzo pričvršćivanje</v>
      </c>
      <c r="D1402" s="28" t="s">
        <v>11</v>
      </c>
      <c r="E1402" s="29">
        <v>1</v>
      </c>
      <c r="F1402" s="17"/>
    </row>
    <row r="1403" spans="1:9" ht="25.5" customHeight="1" x14ac:dyDescent="0.2">
      <c r="A1403" s="27">
        <v>1401</v>
      </c>
      <c r="B1403" s="29">
        <v>7082227</v>
      </c>
      <c r="C1403" s="29" t="str">
        <f ca="1">IFERROR(__xludf.DUMMYFUNCTION("GOOGLETRANSLATE(C3302,""en"",""hr"")"),"Gumena pregača")</f>
        <v>Gumena pregača</v>
      </c>
      <c r="D1403" s="28" t="s">
        <v>11</v>
      </c>
      <c r="E1403" s="29">
        <v>1</v>
      </c>
      <c r="F1403" s="17"/>
    </row>
    <row r="1404" spans="1:9" ht="25.5" customHeight="1" x14ac:dyDescent="0.2">
      <c r="A1404" s="27">
        <v>1402</v>
      </c>
      <c r="B1404" s="29">
        <v>7082242</v>
      </c>
      <c r="C1404" s="29" t="str">
        <f ca="1">IFERROR(__xludf.DUMMYFUNCTION("GOOGLETRANSLATE(C6849,""en"",""hr"")"),"Trokut")</f>
        <v>Trokut</v>
      </c>
      <c r="D1404" s="28" t="s">
        <v>11</v>
      </c>
      <c r="E1404" s="29">
        <v>1</v>
      </c>
      <c r="F1404" s="17"/>
    </row>
    <row r="1405" spans="1:9" ht="25.5" customHeight="1" x14ac:dyDescent="0.2">
      <c r="A1405" s="27">
        <v>1403</v>
      </c>
      <c r="B1405" s="29">
        <v>7082248</v>
      </c>
      <c r="C1405" s="29" t="str">
        <f ca="1">IFERROR(__xludf.DUMMYFUNCTION("GOOGLETRANSLATE(C6841,""en"",""hr"")"),"Vijak")</f>
        <v>Vijak</v>
      </c>
      <c r="D1405" s="28" t="s">
        <v>11</v>
      </c>
      <c r="E1405" s="29">
        <v>1</v>
      </c>
      <c r="F1405" s="17"/>
    </row>
    <row r="1406" spans="1:9" ht="25.5" customHeight="1" x14ac:dyDescent="0.2">
      <c r="A1406" s="27">
        <v>1404</v>
      </c>
      <c r="B1406" s="29">
        <v>7082251</v>
      </c>
      <c r="C1406" s="29" t="str">
        <f ca="1">IFERROR(__xludf.DUMMYFUNCTION("GOOGLETRANSLATE(C6852,""en"",""hr"")"),"Vijak")</f>
        <v>Vijak</v>
      </c>
      <c r="D1406" s="28" t="s">
        <v>11</v>
      </c>
      <c r="E1406" s="29">
        <v>1</v>
      </c>
      <c r="F1406" s="17"/>
    </row>
    <row r="1407" spans="1:9" ht="25.5" customHeight="1" x14ac:dyDescent="0.2">
      <c r="A1407" s="27">
        <v>1405</v>
      </c>
      <c r="B1407" s="29">
        <v>7082254</v>
      </c>
      <c r="C1407" s="29" t="str">
        <f ca="1">IFERROR(__xludf.DUMMYFUNCTION("GOOGLETRANSLATE(C6840,""en"",""hr"")"),"Glava vilice")</f>
        <v>Glava vilice</v>
      </c>
      <c r="D1407" s="28" t="s">
        <v>11</v>
      </c>
      <c r="E1407" s="29">
        <v>1</v>
      </c>
      <c r="F1407" s="17"/>
    </row>
    <row r="1408" spans="1:9" ht="25.5" customHeight="1" x14ac:dyDescent="0.2">
      <c r="A1408" s="27">
        <v>1406</v>
      </c>
      <c r="B1408" s="29">
        <v>7082259</v>
      </c>
      <c r="C1408" s="29" t="str">
        <f ca="1">IFERROR(__xludf.DUMMYFUNCTION("GOOGLETRANSLATE(C6847,""en"",""hr"")"),"Vijak")</f>
        <v>Vijak</v>
      </c>
      <c r="D1408" s="28" t="s">
        <v>11</v>
      </c>
      <c r="E1408" s="29">
        <v>1</v>
      </c>
      <c r="F1408" s="17"/>
    </row>
    <row r="1409" spans="1:9" ht="25.5" customHeight="1" x14ac:dyDescent="0.2">
      <c r="A1409" s="27">
        <v>1407</v>
      </c>
      <c r="B1409" s="29">
        <v>7082261</v>
      </c>
      <c r="C1409" s="29" t="str">
        <f ca="1">IFERROR(__xludf.DUMMYFUNCTION("GOOGLETRANSLATE(C6845,""en"",""hr"")"),"Vijak")</f>
        <v>Vijak</v>
      </c>
      <c r="D1409" s="28" t="s">
        <v>11</v>
      </c>
      <c r="E1409" s="29">
        <v>1</v>
      </c>
      <c r="F1409" s="17"/>
    </row>
    <row r="1410" spans="1:9" ht="25.5" customHeight="1" x14ac:dyDescent="0.2">
      <c r="A1410" s="27">
        <v>1408</v>
      </c>
      <c r="B1410" s="29">
        <v>7082262</v>
      </c>
      <c r="C1410" s="29" t="str">
        <f ca="1">IFERROR(__xludf.DUMMYFUNCTION("GOOGLETRANSLATE(C6844,""en"",""hr"")"),"Perilica")</f>
        <v>Perilica</v>
      </c>
      <c r="D1410" s="28" t="s">
        <v>11</v>
      </c>
      <c r="E1410" s="29">
        <v>1</v>
      </c>
      <c r="F1410" s="17"/>
    </row>
    <row r="1411" spans="1:9" ht="25.5" customHeight="1" x14ac:dyDescent="0.2">
      <c r="A1411" s="27">
        <v>1409</v>
      </c>
      <c r="B1411" s="29">
        <v>7082270</v>
      </c>
      <c r="C1411" s="29" t="str">
        <f ca="1">IFERROR(__xludf.DUMMYFUNCTION("GOOGLETRANSLATE(C3304,""en"",""hr"")"),"Kut")</f>
        <v>Kut</v>
      </c>
      <c r="D1411" s="28" t="s">
        <v>11</v>
      </c>
      <c r="E1411" s="29">
        <v>1</v>
      </c>
      <c r="F1411" s="17"/>
    </row>
    <row r="1412" spans="1:9" ht="25.5" customHeight="1" x14ac:dyDescent="0.2">
      <c r="A1412" s="27">
        <v>1410</v>
      </c>
      <c r="B1412" s="29">
        <v>7082284</v>
      </c>
      <c r="C1412" s="29" t="str">
        <f ca="1">IFERROR(__xludf.DUMMYFUNCTION("GOOGLETRANSLATE(C6855,""en"",""hr"")"),"Sigurnosna matica")</f>
        <v>Sigurnosna matica</v>
      </c>
      <c r="D1412" s="28" t="s">
        <v>11</v>
      </c>
      <c r="E1412" s="29">
        <v>1</v>
      </c>
      <c r="F1412" s="17"/>
    </row>
    <row r="1413" spans="1:9" ht="25.5" customHeight="1" x14ac:dyDescent="0.2">
      <c r="A1413" s="27">
        <v>1411</v>
      </c>
      <c r="B1413" s="29">
        <v>7082291</v>
      </c>
      <c r="C1413" s="29" t="str">
        <f ca="1">IFERROR(__xludf.DUMMYFUNCTION("GOOGLETRANSLATE(C3299,""en"",""hr"")"),"Usisna usta")</f>
        <v>Usisna usta</v>
      </c>
      <c r="D1413" s="28" t="s">
        <v>11</v>
      </c>
      <c r="E1413" s="29">
        <v>1</v>
      </c>
      <c r="F1413" s="17"/>
    </row>
    <row r="1414" spans="1:9" ht="25.5" customHeight="1" x14ac:dyDescent="0.2">
      <c r="A1414" s="27">
        <v>1412</v>
      </c>
      <c r="B1414" s="29">
        <v>7082304</v>
      </c>
      <c r="C1414" s="29" t="str">
        <f ca="1">IFERROR(__xludf.DUMMYFUNCTION("GOOGLETRANSLATE(C3300,""en"",""hr"")"),"režanj")</f>
        <v>režanj</v>
      </c>
      <c r="D1414" s="28" t="s">
        <v>11</v>
      </c>
      <c r="E1414" s="29">
        <v>1</v>
      </c>
      <c r="F1414" s="17"/>
    </row>
    <row r="1415" spans="1:9" ht="25.5" customHeight="1" x14ac:dyDescent="0.2">
      <c r="A1415" s="27">
        <v>1413</v>
      </c>
      <c r="B1415" s="29">
        <v>7082325</v>
      </c>
      <c r="C1415" s="29" t="str">
        <f ca="1">IFERROR(__xludf.DUMMYFUNCTION("GOOGLETRANSLATE(C3266,""en"",""hr"")"),"Držač")</f>
        <v>Držač</v>
      </c>
      <c r="D1415" s="28" t="s">
        <v>11</v>
      </c>
      <c r="E1415" s="29">
        <v>1</v>
      </c>
      <c r="F1415" s="17"/>
    </row>
    <row r="1416" spans="1:9" ht="25.5" customHeight="1" x14ac:dyDescent="0.2">
      <c r="A1416" s="27">
        <v>1414</v>
      </c>
      <c r="B1416" s="29">
        <v>7082368</v>
      </c>
      <c r="C1416" s="29" t="str">
        <f ca="1">IFERROR(__xludf.DUMMYFUNCTION("GOOGLETRANSLATE(C3046,""en"",""hr"")"),"Usisna usta i usisna cijev kpl.")</f>
        <v>Usisna usta i usisna cijev kpl.</v>
      </c>
      <c r="D1416" s="28" t="s">
        <v>11</v>
      </c>
      <c r="E1416" s="29">
        <v>1</v>
      </c>
      <c r="F1416" s="17"/>
    </row>
    <row r="1417" spans="1:9" ht="25.5" customHeight="1" x14ac:dyDescent="0.2">
      <c r="A1417" s="27">
        <v>1415</v>
      </c>
      <c r="B1417" s="29">
        <v>7082380</v>
      </c>
      <c r="C1417" s="29" t="str">
        <f ca="1">IFERROR(__xludf.DUMMYFUNCTION("GOOGLETRANSLATE(C3909,""en"",""hr"")"),"Kavez")</f>
        <v>Kavez</v>
      </c>
      <c r="D1417" s="28" t="s">
        <v>11</v>
      </c>
      <c r="E1417" s="29">
        <v>1</v>
      </c>
      <c r="F1417" s="17"/>
    </row>
    <row r="1418" spans="1:9" ht="25.5" customHeight="1" x14ac:dyDescent="0.2">
      <c r="A1418" s="27">
        <v>1416</v>
      </c>
      <c r="B1418" s="29">
        <v>7082383</v>
      </c>
      <c r="C1418" s="29" t="str">
        <f ca="1">IFERROR(__xludf.DUMMYFUNCTION("GOOGLETRANSLATE(C3910,""en"",""hr"")"),"Poklopac")</f>
        <v>Poklopac</v>
      </c>
      <c r="D1418" s="28" t="s">
        <v>11</v>
      </c>
      <c r="E1418" s="29">
        <v>1</v>
      </c>
      <c r="F1418" s="17"/>
    </row>
    <row r="1419" spans="1:9" ht="25.5" customHeight="1" x14ac:dyDescent="0.2">
      <c r="A1419" s="27">
        <v>1417</v>
      </c>
      <c r="B1419" s="29">
        <v>7082384</v>
      </c>
      <c r="C1419" s="29" t="str">
        <f ca="1">IFERROR(__xludf.DUMMYFUNCTION("GOOGLETRANSLATE(C3908,""en"",""hr"")"),"Držač")</f>
        <v>Držač</v>
      </c>
      <c r="D1419" s="28" t="s">
        <v>11</v>
      </c>
      <c r="E1419" s="29">
        <v>1</v>
      </c>
      <c r="F1419" s="17"/>
      <c r="I1419" s="4" t="b">
        <f>INT(F1417*100)=(F1417*100)</f>
        <v>1</v>
      </c>
    </row>
    <row r="1420" spans="1:9" ht="25.5" customHeight="1" x14ac:dyDescent="0.2">
      <c r="A1420" s="27">
        <v>1418</v>
      </c>
      <c r="B1420" s="29">
        <v>7082387</v>
      </c>
      <c r="C1420" s="29" t="str">
        <f ca="1">IFERROR(__xludf.DUMMYFUNCTION("GOOGLETRANSLATE(C1873,""en"",""hr"")"),"Bočne četke kpl. lijevo i desno")</f>
        <v>Bočne četke kpl. lijevo i desno</v>
      </c>
      <c r="D1420" s="28" t="s">
        <v>11</v>
      </c>
      <c r="E1420" s="29">
        <v>1</v>
      </c>
      <c r="F1420" s="17"/>
    </row>
    <row r="1421" spans="1:9" ht="25.5" customHeight="1" x14ac:dyDescent="0.2">
      <c r="A1421" s="27">
        <v>1419</v>
      </c>
      <c r="B1421" s="29">
        <v>7082550</v>
      </c>
      <c r="C1421" s="29" t="str">
        <f ca="1">IFERROR(__xludf.DUMMYFUNCTION("GOOGLETRANSLATE(C6862,""en"",""hr"")"),"Cilindar")</f>
        <v>Cilindar</v>
      </c>
      <c r="D1421" s="28" t="s">
        <v>11</v>
      </c>
      <c r="E1421" s="29">
        <v>1</v>
      </c>
      <c r="F1421" s="17"/>
    </row>
    <row r="1422" spans="1:9" ht="25.5" customHeight="1" x14ac:dyDescent="0.2">
      <c r="A1422" s="27">
        <v>1420</v>
      </c>
      <c r="B1422" s="29">
        <v>7082623</v>
      </c>
      <c r="C1422" s="29" t="str">
        <f ca="1">IFERROR(__xludf.DUMMYFUNCTION("GOOGLETRANSLATE(C3633,""en"",""hr"")"),"Držač")</f>
        <v>Držač</v>
      </c>
      <c r="D1422" s="28" t="s">
        <v>11</v>
      </c>
      <c r="E1422" s="29">
        <v>1</v>
      </c>
      <c r="F1422" s="17"/>
      <c r="I1422" s="4" t="b">
        <f>INT(F1420*100)=(F1420*100)</f>
        <v>1</v>
      </c>
    </row>
    <row r="1423" spans="1:9" ht="25.5" customHeight="1" x14ac:dyDescent="0.2">
      <c r="A1423" s="27">
        <v>1421</v>
      </c>
      <c r="B1423" s="29">
        <v>7082644</v>
      </c>
      <c r="C1423" s="29" t="str">
        <f ca="1">IFERROR(__xludf.DUMMYFUNCTION("GOOGLETRANSLATE(C1527,""en"",""hr"")"),"razmaknica")</f>
        <v>razmaknica</v>
      </c>
      <c r="D1423" s="28" t="s">
        <v>11</v>
      </c>
      <c r="E1423" s="29">
        <v>1</v>
      </c>
      <c r="F1423" s="17"/>
    </row>
    <row r="1424" spans="1:9" ht="25.5" customHeight="1" x14ac:dyDescent="0.2">
      <c r="A1424" s="27">
        <v>1422</v>
      </c>
      <c r="B1424" s="29">
        <v>7082649</v>
      </c>
      <c r="C1424" s="29" t="str">
        <f ca="1">IFERROR(__xludf.DUMMYFUNCTION("GOOGLETRANSLATE(C5199,""en"",""hr"")"),"Razdjelnik zraka")</f>
        <v>Razdjelnik zraka</v>
      </c>
      <c r="D1424" s="28" t="s">
        <v>11</v>
      </c>
      <c r="E1424" s="29">
        <v>1</v>
      </c>
      <c r="F1424" s="17"/>
    </row>
    <row r="1425" spans="1:9" ht="25.5" customHeight="1" x14ac:dyDescent="0.2">
      <c r="A1425" s="27">
        <v>1423</v>
      </c>
      <c r="B1425" s="29">
        <v>7082714</v>
      </c>
      <c r="C1425" s="29" t="str">
        <f ca="1">IFERROR(__xludf.DUMMYFUNCTION("GOOGLETRANSLATE(C2267,""en"",""hr"")"),"Ruka")</f>
        <v>Ruka</v>
      </c>
      <c r="D1425" s="28" t="s">
        <v>11</v>
      </c>
      <c r="E1425" s="29">
        <v>1</v>
      </c>
      <c r="F1425" s="17"/>
    </row>
    <row r="1426" spans="1:9" ht="25.5" customHeight="1" x14ac:dyDescent="0.2">
      <c r="A1426" s="27">
        <v>1424</v>
      </c>
      <c r="B1426" s="29">
        <v>7082716</v>
      </c>
      <c r="C1426" s="29" t="str">
        <f ca="1">IFERROR(__xludf.DUMMYFUNCTION("GOOGLETRANSLATE(C2264,""en"",""hr"")"),"Ruka četke")</f>
        <v>Ruka četke</v>
      </c>
      <c r="D1426" s="28" t="s">
        <v>11</v>
      </c>
      <c r="E1426" s="29">
        <v>1</v>
      </c>
      <c r="F1426" s="17"/>
      <c r="I1426" s="4" t="b">
        <f>INT(F1424*100)=(F1424*100)</f>
        <v>1</v>
      </c>
    </row>
    <row r="1427" spans="1:9" ht="25.5" customHeight="1" x14ac:dyDescent="0.2">
      <c r="A1427" s="27">
        <v>1425</v>
      </c>
      <c r="B1427" s="29">
        <v>7082740</v>
      </c>
      <c r="C1427" s="29" t="str">
        <f ca="1">IFERROR(__xludf.DUMMYFUNCTION("GOOGLETRANSLATE(C4837,""en"",""hr"")"),"Flap, weiss")</f>
        <v>Flap, weiss</v>
      </c>
      <c r="D1427" s="28" t="s">
        <v>11</v>
      </c>
      <c r="E1427" s="29">
        <v>1</v>
      </c>
      <c r="F1427" s="17"/>
    </row>
    <row r="1428" spans="1:9" ht="25.5" customHeight="1" x14ac:dyDescent="0.2">
      <c r="A1428" s="27">
        <v>1426</v>
      </c>
      <c r="B1428" s="29">
        <v>7082743</v>
      </c>
      <c r="C1428" s="29" t="str">
        <f ca="1">IFERROR(__xludf.DUMMYFUNCTION("GOOGLETRANSLATE(C1474,""en"",""hr"")"),"Razmaknica")</f>
        <v>Razmaknica</v>
      </c>
      <c r="D1428" s="28" t="s">
        <v>11</v>
      </c>
      <c r="E1428" s="29">
        <v>1</v>
      </c>
      <c r="F1428" s="17"/>
    </row>
    <row r="1429" spans="1:9" ht="25.5" customHeight="1" x14ac:dyDescent="0.2">
      <c r="A1429" s="27">
        <v>1427</v>
      </c>
      <c r="B1429" s="29">
        <v>7082751</v>
      </c>
      <c r="C1429" s="29" t="str">
        <f ca="1">IFERROR(__xludf.DUMMYFUNCTION("GOOGLETRANSLATE(C4838,""en"",""hr"")"),"Poklopac, bijeli")</f>
        <v>Poklopac, bijeli</v>
      </c>
      <c r="D1429" s="28" t="s">
        <v>11</v>
      </c>
      <c r="E1429" s="29">
        <v>1</v>
      </c>
      <c r="F1429" s="17"/>
    </row>
    <row r="1430" spans="1:9" ht="25.5" customHeight="1" x14ac:dyDescent="0.2">
      <c r="A1430" s="27">
        <v>1428</v>
      </c>
      <c r="B1430" s="29">
        <v>7082790</v>
      </c>
      <c r="C1430" s="29" t="str">
        <f ca="1">IFERROR(__xludf.DUMMYFUNCTION("GOOGLETRANSLATE(C4521,""en"",""hr"")"),"Metalni lim")</f>
        <v>Metalni lim</v>
      </c>
      <c r="D1430" s="28" t="s">
        <v>11</v>
      </c>
      <c r="E1430" s="29">
        <v>1</v>
      </c>
      <c r="F1430" s="17"/>
    </row>
    <row r="1431" spans="1:9" ht="25.5" customHeight="1" x14ac:dyDescent="0.2">
      <c r="A1431" s="27">
        <v>1429</v>
      </c>
      <c r="B1431" s="29">
        <v>7082793</v>
      </c>
      <c r="C1431" s="29" t="str">
        <f ca="1">IFERROR(__xludf.DUMMYFUNCTION("GOOGLETRANSLATE(C4520,""en"",""hr"")"),"Filter za plijesan")</f>
        <v>Filter za plijesan</v>
      </c>
      <c r="D1431" s="28" t="s">
        <v>11</v>
      </c>
      <c r="E1431" s="29">
        <v>1</v>
      </c>
      <c r="F1431" s="17"/>
    </row>
    <row r="1432" spans="1:9" ht="25.5" customHeight="1" x14ac:dyDescent="0.2">
      <c r="A1432" s="27">
        <v>1430</v>
      </c>
      <c r="B1432" s="29">
        <v>7082836</v>
      </c>
      <c r="C1432" s="29" t="str">
        <f ca="1">IFERROR(__xludf.DUMMYFUNCTION("GOOGLETRANSLATE(C3246,""en"",""hr"")"),"Rotacijski dio")</f>
        <v>Rotacijski dio</v>
      </c>
      <c r="D1432" s="28" t="s">
        <v>11</v>
      </c>
      <c r="E1432" s="29">
        <v>1</v>
      </c>
      <c r="F1432" s="17"/>
    </row>
    <row r="1433" spans="1:9" ht="25.5" customHeight="1" x14ac:dyDescent="0.2">
      <c r="A1433" s="27">
        <v>1431</v>
      </c>
      <c r="B1433" s="29">
        <v>7082840</v>
      </c>
      <c r="C1433" s="29" t="str">
        <f ca="1">IFERROR(__xludf.DUMMYFUNCTION("GOOGLETRANSLATE(C3247,""en"",""hr"")"),"Prirubnica")</f>
        <v>Prirubnica</v>
      </c>
      <c r="D1433" s="28" t="s">
        <v>11</v>
      </c>
      <c r="E1433" s="29">
        <v>1</v>
      </c>
      <c r="F1433" s="17"/>
    </row>
    <row r="1434" spans="1:9" ht="25.5" customHeight="1" x14ac:dyDescent="0.2">
      <c r="A1434" s="27">
        <v>1432</v>
      </c>
      <c r="B1434" s="29">
        <v>7082841</v>
      </c>
      <c r="C1434" s="29" t="str">
        <f ca="1">IFERROR(__xludf.DUMMYFUNCTION("GOOGLETRANSLATE(C3245,""en"",""hr"")"),"Uklapanje")</f>
        <v>Uklapanje</v>
      </c>
      <c r="D1434" s="28" t="s">
        <v>11</v>
      </c>
      <c r="E1434" s="29">
        <v>1</v>
      </c>
      <c r="F1434" s="17"/>
    </row>
    <row r="1435" spans="1:9" ht="25.5" customHeight="1" x14ac:dyDescent="0.2">
      <c r="A1435" s="27">
        <v>1433</v>
      </c>
      <c r="B1435" s="29">
        <v>7082846</v>
      </c>
      <c r="C1435" s="29" t="str">
        <f ca="1">IFERROR(__xludf.DUMMYFUNCTION("GOOGLETRANSLATE(C3234,""en"",""hr"")"),"Usisno crijevo D180")</f>
        <v>Usisno crijevo D180</v>
      </c>
      <c r="D1435" s="28" t="s">
        <v>11</v>
      </c>
      <c r="E1435" s="29">
        <v>1</v>
      </c>
      <c r="F1435" s="17"/>
    </row>
    <row r="1436" spans="1:9" ht="25.5" customHeight="1" x14ac:dyDescent="0.2">
      <c r="A1436" s="27">
        <v>1434</v>
      </c>
      <c r="B1436" s="29">
        <v>7082857</v>
      </c>
      <c r="C1436" s="29" t="str">
        <f ca="1">IFERROR(__xludf.DUMMYFUNCTION("GOOGLETRANSLATE(C3258,""en"",""hr"")"),"Usisna cijev")</f>
        <v>Usisna cijev</v>
      </c>
      <c r="D1436" s="28" t="s">
        <v>11</v>
      </c>
      <c r="E1436" s="29">
        <v>1</v>
      </c>
      <c r="F1436" s="17"/>
    </row>
    <row r="1437" spans="1:9" ht="25.5" customHeight="1" x14ac:dyDescent="0.2">
      <c r="A1437" s="27">
        <v>1435</v>
      </c>
      <c r="B1437" s="29">
        <v>7082865</v>
      </c>
      <c r="C1437" s="29" t="str">
        <f ca="1">IFERROR(__xludf.DUMMYFUNCTION("GOOGLETRANSLATE(C3264,""en"",""hr"")"),"Gumeni profil")</f>
        <v>Gumeni profil</v>
      </c>
      <c r="D1437" s="28" t="s">
        <v>11</v>
      </c>
      <c r="E1437" s="29">
        <v>1</v>
      </c>
      <c r="F1437" s="17"/>
    </row>
    <row r="1438" spans="1:9" ht="25.5" customHeight="1" x14ac:dyDescent="0.2">
      <c r="A1438" s="27">
        <v>1436</v>
      </c>
      <c r="B1438" s="29">
        <v>7082866</v>
      </c>
      <c r="C1438" s="29" t="str">
        <f ca="1">IFERROR(__xludf.DUMMYFUNCTION("GOOGLETRANSLATE(C3262,""en"",""hr"")"),"Stezni prsten")</f>
        <v>Stezni prsten</v>
      </c>
      <c r="D1438" s="28" t="s">
        <v>11</v>
      </c>
      <c r="E1438" s="29">
        <v>1</v>
      </c>
      <c r="F1438" s="17"/>
    </row>
    <row r="1439" spans="1:9" ht="25.5" customHeight="1" x14ac:dyDescent="0.2">
      <c r="A1439" s="27">
        <v>1437</v>
      </c>
      <c r="B1439" s="29">
        <v>7082871</v>
      </c>
      <c r="C1439" s="29" t="str">
        <f ca="1">IFERROR(__xludf.DUMMYFUNCTION("GOOGLETRANSLATE(C3260,""en"",""hr"")"),"Usisna cijev")</f>
        <v>Usisna cijev</v>
      </c>
      <c r="D1439" s="28" t="s">
        <v>11</v>
      </c>
      <c r="E1439" s="29">
        <v>1</v>
      </c>
      <c r="F1439" s="17"/>
    </row>
    <row r="1440" spans="1:9" ht="25.5" customHeight="1" x14ac:dyDescent="0.2">
      <c r="A1440" s="27">
        <v>1438</v>
      </c>
      <c r="B1440" s="29">
        <v>7082872</v>
      </c>
      <c r="C1440" s="29" t="str">
        <f ca="1">IFERROR(__xludf.DUMMYFUNCTION("GOOGLETRANSLATE(C3232,""en"",""hr"")"),"Usisna cijev")</f>
        <v>Usisna cijev</v>
      </c>
      <c r="D1440" s="28" t="s">
        <v>11</v>
      </c>
      <c r="E1440" s="29">
        <v>1</v>
      </c>
      <c r="F1440" s="17"/>
    </row>
    <row r="1441" spans="1:9" ht="25.5" customHeight="1" x14ac:dyDescent="0.2">
      <c r="A1441" s="27">
        <v>1439</v>
      </c>
      <c r="B1441" s="29">
        <v>7082932</v>
      </c>
      <c r="C1441" s="29" t="str">
        <f ca="1">IFERROR(__xludf.DUMMYFUNCTION("GOOGLETRANSLATE(C4527,""en"",""hr"")"),"Poklopac")</f>
        <v>Poklopac</v>
      </c>
      <c r="D1441" s="28" t="s">
        <v>11</v>
      </c>
      <c r="E1441" s="29">
        <v>1</v>
      </c>
      <c r="F1441" s="17"/>
    </row>
    <row r="1442" spans="1:9" ht="25.5" customHeight="1" x14ac:dyDescent="0.2">
      <c r="A1442" s="27">
        <v>1440</v>
      </c>
      <c r="B1442" s="29">
        <v>7082934</v>
      </c>
      <c r="C1442" s="29" t="str">
        <f ca="1">IFERROR(__xludf.DUMMYFUNCTION("GOOGLETRANSLATE(C4503,""en"",""hr"")"),"Mrežasta kpl.")</f>
        <v>Mrežasta kpl.</v>
      </c>
      <c r="D1442" s="28" t="s">
        <v>11</v>
      </c>
      <c r="E1442" s="29">
        <v>1</v>
      </c>
      <c r="F1442" s="17"/>
    </row>
    <row r="1443" spans="1:9" ht="25.5" customHeight="1" x14ac:dyDescent="0.2">
      <c r="A1443" s="27">
        <v>1441</v>
      </c>
      <c r="B1443" s="29">
        <v>7082936</v>
      </c>
      <c r="C1443" s="29" t="str">
        <f ca="1">IFERROR(__xludf.DUMMYFUNCTION("GOOGLETRANSLATE(C3271,""en"",""hr"")"),"Usisno crijevo D160")</f>
        <v>Usisno crijevo D160</v>
      </c>
      <c r="D1443" s="28" t="s">
        <v>11</v>
      </c>
      <c r="E1443" s="29">
        <v>1</v>
      </c>
      <c r="F1443" s="17"/>
    </row>
    <row r="1444" spans="1:9" ht="25.5" customHeight="1" x14ac:dyDescent="0.2">
      <c r="A1444" s="27">
        <v>1442</v>
      </c>
      <c r="B1444" s="29">
        <v>7082958</v>
      </c>
      <c r="C1444" s="29" t="str">
        <f ca="1">IFERROR(__xludf.DUMMYFUNCTION("GOOGLETRANSLATE(C3182,""en"",""hr"")"),"Poluga")</f>
        <v>Poluga</v>
      </c>
      <c r="D1444" s="28" t="s">
        <v>11</v>
      </c>
      <c r="E1444" s="29">
        <v>1</v>
      </c>
      <c r="F1444" s="17"/>
      <c r="I1444" s="4" t="b">
        <f>INT(F1442*100)=(F1442*100)</f>
        <v>1</v>
      </c>
    </row>
    <row r="1445" spans="1:9" ht="25.5" customHeight="1" x14ac:dyDescent="0.2">
      <c r="A1445" s="27">
        <v>1443</v>
      </c>
      <c r="B1445" s="29">
        <v>7082960</v>
      </c>
      <c r="C1445" s="29" t="str">
        <f ca="1">IFERROR(__xludf.DUMMYFUNCTION("GOOGLETRANSLATE(C3183,""en"",""hr"")"),"Poluga")</f>
        <v>Poluga</v>
      </c>
      <c r="D1445" s="28" t="s">
        <v>11</v>
      </c>
      <c r="E1445" s="29">
        <v>1</v>
      </c>
      <c r="F1445" s="17"/>
    </row>
    <row r="1446" spans="1:9" ht="25.5" customHeight="1" x14ac:dyDescent="0.2">
      <c r="A1446" s="27">
        <v>1444</v>
      </c>
      <c r="B1446" s="29">
        <v>7082983</v>
      </c>
      <c r="C1446" s="29" t="str">
        <f ca="1">IFERROR(__xludf.DUMMYFUNCTION("GOOGLETRANSLATE(C2265,""en"",""hr"")"),"Ruka")</f>
        <v>Ruka</v>
      </c>
      <c r="D1446" s="28" t="s">
        <v>11</v>
      </c>
      <c r="E1446" s="29">
        <v>1</v>
      </c>
      <c r="F1446" s="17"/>
    </row>
    <row r="1447" spans="1:9" ht="25.5" customHeight="1" x14ac:dyDescent="0.2">
      <c r="A1447" s="27">
        <v>1445</v>
      </c>
      <c r="B1447" s="29">
        <v>7082987</v>
      </c>
      <c r="C1447" s="29" t="str">
        <f ca="1">IFERROR(__xludf.DUMMYFUNCTION("GOOGLETRANSLATE(C2276,""en"",""hr"")"),"Stražar, lijevo")</f>
        <v>Stražar, lijevo</v>
      </c>
      <c r="D1447" s="28" t="s">
        <v>11</v>
      </c>
      <c r="E1447" s="29">
        <v>1</v>
      </c>
      <c r="F1447" s="17"/>
      <c r="I1447" s="4" t="b">
        <f>INT(F1445*100)=(F1445*100)</f>
        <v>1</v>
      </c>
    </row>
    <row r="1448" spans="1:9" ht="25.5" customHeight="1" x14ac:dyDescent="0.2">
      <c r="A1448" s="27">
        <v>1446</v>
      </c>
      <c r="B1448" s="29">
        <v>7082989</v>
      </c>
      <c r="C1448" s="29" t="str">
        <f ca="1">IFERROR(__xludf.DUMMYFUNCTION("GOOGLETRANSLATE(C2275,""en"",""hr"")"),"Stražar, točno")</f>
        <v>Stražar, točno</v>
      </c>
      <c r="D1448" s="28" t="s">
        <v>11</v>
      </c>
      <c r="E1448" s="29">
        <v>1</v>
      </c>
      <c r="F1448" s="17"/>
    </row>
    <row r="1449" spans="1:9" ht="25.5" customHeight="1" x14ac:dyDescent="0.2">
      <c r="A1449" s="27">
        <v>1447</v>
      </c>
      <c r="B1449" s="29">
        <v>7082994</v>
      </c>
      <c r="C1449" s="29" t="str">
        <f ca="1">IFERROR(__xludf.DUMMYFUNCTION("GOOGLETRANSLATE(C5170,""en"",""hr"")"),"Utikači, vijci - pojas u 2 točke")</f>
        <v>Utikači, vijci - pojas u 2 točke</v>
      </c>
      <c r="D1449" s="28" t="s">
        <v>11</v>
      </c>
      <c r="E1449" s="29">
        <v>1</v>
      </c>
      <c r="F1449" s="17"/>
    </row>
    <row r="1450" spans="1:9" ht="25.5" customHeight="1" x14ac:dyDescent="0.2">
      <c r="A1450" s="27">
        <v>1448</v>
      </c>
      <c r="B1450" s="29">
        <v>7083021</v>
      </c>
      <c r="C1450" s="29" t="str">
        <f ca="1">IFERROR(__xludf.DUMMYFUNCTION("GOOGLETRANSLATE(C218,""en"",""hr"")"),"Zadržni valjak")</f>
        <v>Zadržni valjak</v>
      </c>
      <c r="D1450" s="28" t="s">
        <v>11</v>
      </c>
      <c r="E1450" s="29">
        <v>1</v>
      </c>
      <c r="F1450" s="17"/>
    </row>
    <row r="1451" spans="1:9" ht="25.5" customHeight="1" x14ac:dyDescent="0.2">
      <c r="A1451" s="27">
        <v>1449</v>
      </c>
      <c r="B1451" s="29">
        <v>7083029</v>
      </c>
      <c r="C1451" s="29" t="str">
        <f ca="1">IFERROR(__xludf.DUMMYFUNCTION("GOOGLETRANSLATE(C4504,""en"",""hr"")"),"Okvir poklopca spremnika, verzija 2")</f>
        <v>Okvir poklopca spremnika, verzija 2</v>
      </c>
      <c r="D1451" s="28" t="s">
        <v>11</v>
      </c>
      <c r="E1451" s="29">
        <v>1</v>
      </c>
      <c r="F1451" s="17"/>
      <c r="I1451" s="4" t="b">
        <f>INT(F1449*100)=(F1449*100)</f>
        <v>1</v>
      </c>
    </row>
    <row r="1452" spans="1:9" ht="25.5" customHeight="1" x14ac:dyDescent="0.2">
      <c r="A1452" s="27">
        <v>1450</v>
      </c>
      <c r="B1452" s="29">
        <v>7083066</v>
      </c>
      <c r="C1452" s="29" t="str">
        <f ca="1">IFERROR(__xludf.DUMMYFUNCTION("GOOGLETRANSLATE(C2262,""en"",""hr"")"),"Čahura")</f>
        <v>Čahura</v>
      </c>
      <c r="D1452" s="28" t="s">
        <v>11</v>
      </c>
      <c r="E1452" s="29">
        <v>1</v>
      </c>
      <c r="F1452" s="17"/>
    </row>
    <row r="1453" spans="1:9" ht="25.5" customHeight="1" x14ac:dyDescent="0.2">
      <c r="A1453" s="27">
        <v>1451</v>
      </c>
      <c r="B1453" s="29">
        <v>7083122</v>
      </c>
      <c r="C1453" s="29" t="str">
        <f ca="1">IFERROR(__xludf.DUMMYFUNCTION("GOOGLETRANSLATE(C4859,""en"",""hr"")"),"Stop")</f>
        <v>Stop</v>
      </c>
      <c r="D1453" s="28" t="s">
        <v>11</v>
      </c>
      <c r="E1453" s="29">
        <v>1</v>
      </c>
      <c r="F1453" s="17"/>
    </row>
    <row r="1454" spans="1:9" ht="25.5" customHeight="1" x14ac:dyDescent="0.2">
      <c r="A1454" s="27">
        <v>1452</v>
      </c>
      <c r="B1454" s="29">
        <v>7083123</v>
      </c>
      <c r="C1454" s="29" t="str">
        <f ca="1">IFERROR(__xludf.DUMMYFUNCTION("GOOGLETRANSLATE(C4860,""en"",""hr"")"),"Stop")</f>
        <v>Stop</v>
      </c>
      <c r="D1454" s="28" t="s">
        <v>11</v>
      </c>
      <c r="E1454" s="29">
        <v>1</v>
      </c>
      <c r="F1454" s="17"/>
    </row>
    <row r="1455" spans="1:9" ht="25.5" customHeight="1" x14ac:dyDescent="0.2">
      <c r="A1455" s="27">
        <v>1453</v>
      </c>
      <c r="B1455" s="29">
        <v>7083279</v>
      </c>
      <c r="C1455" s="29" t="str">
        <f ca="1">IFERROR(__xludf.DUMMYFUNCTION("GOOGLETRANSLATE(C3310,""en"",""hr"")"),"Stezna traka")</f>
        <v>Stezna traka</v>
      </c>
      <c r="D1455" s="28" t="s">
        <v>11</v>
      </c>
      <c r="E1455" s="29">
        <v>1</v>
      </c>
      <c r="F1455" s="17"/>
    </row>
    <row r="1456" spans="1:9" ht="25.5" customHeight="1" x14ac:dyDescent="0.2">
      <c r="A1456" s="27">
        <v>1454</v>
      </c>
      <c r="B1456" s="29">
        <v>7083298</v>
      </c>
      <c r="C1456" s="29" t="str">
        <f ca="1">IFERROR(__xludf.DUMMYFUNCTION("GOOGLETRANSLATE(C3303,""en"",""hr"")"),"Nazuvica za crijevo")</f>
        <v>Nazuvica za crijevo</v>
      </c>
      <c r="D1456" s="28" t="s">
        <v>11</v>
      </c>
      <c r="E1456" s="29">
        <v>1</v>
      </c>
      <c r="F1456" s="17"/>
    </row>
    <row r="1457" spans="1:9" ht="25.5" customHeight="1" x14ac:dyDescent="0.2">
      <c r="A1457" s="27">
        <v>1455</v>
      </c>
      <c r="B1457" s="29">
        <v>7083300</v>
      </c>
      <c r="C1457" s="29" t="str">
        <f ca="1">IFERROR(__xludf.DUMMYFUNCTION("GOOGLETRANSLATE(C1209,""en"",""hr"")"),"Ploča za pričvršćivanje")</f>
        <v>Ploča za pričvršćivanje</v>
      </c>
      <c r="D1457" s="28" t="s">
        <v>11</v>
      </c>
      <c r="E1457" s="29">
        <v>1</v>
      </c>
      <c r="F1457" s="17"/>
    </row>
    <row r="1458" spans="1:9" ht="25.5" customHeight="1" x14ac:dyDescent="0.2">
      <c r="A1458" s="27">
        <v>1456</v>
      </c>
      <c r="B1458" s="29">
        <v>7083304</v>
      </c>
      <c r="C1458" s="29" t="str">
        <f ca="1">IFERROR(__xludf.DUMMYFUNCTION("GOOGLETRANSLATE(C3281,""en"",""hr"")"),"Čahura")</f>
        <v>Čahura</v>
      </c>
      <c r="D1458" s="28" t="s">
        <v>11</v>
      </c>
      <c r="E1458" s="29">
        <v>1</v>
      </c>
      <c r="F1458" s="17"/>
    </row>
    <row r="1459" spans="1:9" ht="25.5" customHeight="1" x14ac:dyDescent="0.2">
      <c r="A1459" s="27">
        <v>1457</v>
      </c>
      <c r="B1459" s="29">
        <v>7083317</v>
      </c>
      <c r="C1459" s="29" t="str">
        <f ca="1">IFERROR(__xludf.DUMMYFUNCTION("GOOGLETRANSLATE(C3729,""en"",""hr"")"),"Restriktor punjenja")</f>
        <v>Restriktor punjenja</v>
      </c>
      <c r="D1459" s="28" t="s">
        <v>11</v>
      </c>
      <c r="E1459" s="29">
        <v>1</v>
      </c>
      <c r="F1459" s="17"/>
    </row>
    <row r="1460" spans="1:9" ht="25.5" customHeight="1" x14ac:dyDescent="0.2">
      <c r="A1460" s="27">
        <v>1458</v>
      </c>
      <c r="B1460" s="29">
        <v>7083339</v>
      </c>
      <c r="C1460" s="29" t="str">
        <f ca="1">IFERROR(__xludf.DUMMYFUNCTION("GOOGLETRANSLATE(C643,""en"",""hr"")"),"Pogon na kotačima")</f>
        <v>Pogon na kotačima</v>
      </c>
      <c r="D1460" s="28" t="s">
        <v>11</v>
      </c>
      <c r="E1460" s="29">
        <v>1</v>
      </c>
      <c r="F1460" s="17"/>
    </row>
    <row r="1461" spans="1:9" ht="25.5" customHeight="1" x14ac:dyDescent="0.2">
      <c r="A1461" s="27">
        <v>1459</v>
      </c>
      <c r="B1461" s="29">
        <v>7083456</v>
      </c>
      <c r="C1461" s="29" t="str">
        <f ca="1">IFERROR(__xludf.DUMMYFUNCTION("GOOGLETRANSLATE(C4419,""en"",""hr"")"),"Vijak")</f>
        <v>Vijak</v>
      </c>
      <c r="D1461" s="28" t="s">
        <v>11</v>
      </c>
      <c r="E1461" s="29">
        <v>1</v>
      </c>
      <c r="F1461" s="17"/>
    </row>
    <row r="1462" spans="1:9" ht="25.5" customHeight="1" x14ac:dyDescent="0.2">
      <c r="A1462" s="27">
        <v>1460</v>
      </c>
      <c r="B1462" s="29">
        <v>7083522</v>
      </c>
      <c r="C1462" s="29" t="str">
        <f ca="1">IFERROR(__xludf.DUMMYFUNCTION("GOOGLETRANSLATE(C80,""en"",""hr"")"),"Okrugla četka - PLA ""BIO"" V20")</f>
        <v>Okrugla četka - PLA "BIO" V20</v>
      </c>
      <c r="D1462" s="28" t="s">
        <v>11</v>
      </c>
      <c r="E1462" s="29">
        <v>1</v>
      </c>
      <c r="F1462" s="17"/>
    </row>
    <row r="1463" spans="1:9" ht="25.5" customHeight="1" x14ac:dyDescent="0.2">
      <c r="A1463" s="27">
        <v>1461</v>
      </c>
      <c r="B1463" s="29">
        <v>7083535</v>
      </c>
      <c r="C1463" s="29" t="str">
        <f ca="1">IFERROR(__xludf.DUMMYFUNCTION("GOOGLETRANSLATE(C6325,""en"",""hr"")"),"Podrška za zaslon, desno")</f>
        <v>Podrška za zaslon, desno</v>
      </c>
      <c r="D1463" s="28" t="s">
        <v>11</v>
      </c>
      <c r="E1463" s="29">
        <v>1</v>
      </c>
      <c r="F1463" s="17"/>
    </row>
    <row r="1464" spans="1:9" ht="25.5" customHeight="1" x14ac:dyDescent="0.2">
      <c r="A1464" s="27">
        <v>1462</v>
      </c>
      <c r="B1464" s="29">
        <v>7083537</v>
      </c>
      <c r="C1464" s="29" t="str">
        <f ca="1">IFERROR(__xludf.DUMMYFUNCTION("GOOGLETRANSLATE(C6324,""en"",""hr"")"),"Prikaz")</f>
        <v>Prikaz</v>
      </c>
      <c r="D1464" s="28" t="s">
        <v>11</v>
      </c>
      <c r="E1464" s="29">
        <v>1</v>
      </c>
      <c r="F1464" s="17"/>
    </row>
    <row r="1465" spans="1:9" ht="25.5" customHeight="1" x14ac:dyDescent="0.2">
      <c r="A1465" s="27">
        <v>1463</v>
      </c>
      <c r="B1465" s="29">
        <v>7083544</v>
      </c>
      <c r="C1465" s="29" t="str">
        <f ca="1">IFERROR(__xludf.DUMMYFUNCTION("GOOGLETRANSLATE(C6326,""en"",""hr"")"),"Podrška za zaslon, lijevo")</f>
        <v>Podrška za zaslon, lijevo</v>
      </c>
      <c r="D1465" s="28" t="s">
        <v>11</v>
      </c>
      <c r="E1465" s="29">
        <v>1</v>
      </c>
      <c r="F1465" s="17"/>
    </row>
    <row r="1466" spans="1:9" ht="25.5" customHeight="1" x14ac:dyDescent="0.2">
      <c r="A1466" s="27">
        <v>1464</v>
      </c>
      <c r="B1466" s="29">
        <v>7083571</v>
      </c>
      <c r="C1466" s="29" t="str">
        <f ca="1">IFERROR(__xludf.DUMMYFUNCTION("GOOGLETRANSLATE(C4693,""en"",""hr"")"),"Perilica")</f>
        <v>Perilica</v>
      </c>
      <c r="D1466" s="28" t="s">
        <v>11</v>
      </c>
      <c r="E1466" s="29">
        <v>1</v>
      </c>
      <c r="F1466" s="17"/>
    </row>
    <row r="1467" spans="1:9" ht="25.5" customHeight="1" x14ac:dyDescent="0.2">
      <c r="A1467" s="27">
        <v>1465</v>
      </c>
      <c r="B1467" s="29">
        <v>7083601</v>
      </c>
      <c r="C1467" s="29" t="str">
        <f ca="1">IFERROR(__xludf.DUMMYFUNCTION("GOOGLETRANSLATE(C4974,""en"",""hr"")"),"Mat")</f>
        <v>Mat</v>
      </c>
      <c r="D1467" s="28" t="s">
        <v>11</v>
      </c>
      <c r="E1467" s="29">
        <v>1</v>
      </c>
      <c r="F1467" s="17"/>
    </row>
    <row r="1468" spans="1:9" ht="25.5" customHeight="1" x14ac:dyDescent="0.2">
      <c r="A1468" s="27">
        <v>1466</v>
      </c>
      <c r="B1468" s="29">
        <v>7083603</v>
      </c>
      <c r="C1468" s="29" t="str">
        <f ca="1">IFERROR(__xludf.DUMMYFUNCTION("GOOGLETRANSLATE(C2164,""en"",""hr"")"),"Hidraulički cilindar")</f>
        <v>Hidraulički cilindar</v>
      </c>
      <c r="D1468" s="28" t="s">
        <v>11</v>
      </c>
      <c r="E1468" s="29">
        <v>1</v>
      </c>
      <c r="F1468" s="17"/>
    </row>
    <row r="1469" spans="1:9" ht="25.5" customHeight="1" x14ac:dyDescent="0.2">
      <c r="A1469" s="27">
        <v>1467</v>
      </c>
      <c r="B1469" s="29">
        <v>7083633</v>
      </c>
      <c r="C1469" s="29" t="str">
        <f ca="1">IFERROR(__xludf.DUMMYFUNCTION("GOOGLETRANSLATE(C4709,""en"",""hr"")"),"Zagrada")</f>
        <v>Zagrada</v>
      </c>
      <c r="D1469" s="28" t="s">
        <v>11</v>
      </c>
      <c r="E1469" s="29">
        <v>1</v>
      </c>
      <c r="F1469" s="17"/>
    </row>
    <row r="1470" spans="1:9" ht="25.5" customHeight="1" x14ac:dyDescent="0.2">
      <c r="A1470" s="27">
        <v>1468</v>
      </c>
      <c r="B1470" s="29">
        <v>7083648</v>
      </c>
      <c r="C1470" s="29" t="str">
        <f ca="1">IFERROR(__xludf.DUMMYFUNCTION("GOOGLETRANSLATE(C3538,""en"",""hr"")"),"Gumeni element")</f>
        <v>Gumeni element</v>
      </c>
      <c r="D1470" s="28" t="s">
        <v>11</v>
      </c>
      <c r="E1470" s="29">
        <v>1</v>
      </c>
      <c r="F1470" s="17"/>
      <c r="I1470" s="4" t="b">
        <f>INT(F1468*100)=(F1468*100)</f>
        <v>1</v>
      </c>
    </row>
    <row r="1471" spans="1:9" ht="25.5" customHeight="1" x14ac:dyDescent="0.2">
      <c r="A1471" s="27">
        <v>1469</v>
      </c>
      <c r="B1471" s="29">
        <v>7083649</v>
      </c>
      <c r="C1471" s="29" t="str">
        <f ca="1">IFERROR(__xludf.DUMMYFUNCTION("GOOGLETRANSLATE(C3540,""en"",""hr"")"),"Tenk cpl.")</f>
        <v>Tenk cpl.</v>
      </c>
      <c r="D1471" s="28" t="s">
        <v>11</v>
      </c>
      <c r="E1471" s="29">
        <v>1</v>
      </c>
      <c r="F1471" s="17"/>
    </row>
    <row r="1472" spans="1:9" ht="25.5" customHeight="1" x14ac:dyDescent="0.2">
      <c r="A1472" s="27">
        <v>1470</v>
      </c>
      <c r="B1472" s="29">
        <v>7083653</v>
      </c>
      <c r="C1472" s="29" t="str">
        <f ca="1">IFERROR(__xludf.DUMMYFUNCTION("GOOGLETRANSLATE(C6650,""en"",""hr"")"),"podrška")</f>
        <v>podrška</v>
      </c>
      <c r="D1472" s="28" t="s">
        <v>11</v>
      </c>
      <c r="E1472" s="29">
        <v>1</v>
      </c>
      <c r="F1472" s="17"/>
    </row>
    <row r="1473" spans="1:9" ht="25.5" customHeight="1" x14ac:dyDescent="0.2">
      <c r="A1473" s="27">
        <v>1471</v>
      </c>
      <c r="B1473" s="29">
        <v>7083692</v>
      </c>
      <c r="C1473" s="29" t="str">
        <f ca="1">IFERROR(__xludf.DUMMYFUNCTION("GOOGLETRANSLATE(C5223,""en"",""hr"")"),"Ploča, baza")</f>
        <v>Ploča, baza</v>
      </c>
      <c r="D1473" s="28" t="s">
        <v>11</v>
      </c>
      <c r="E1473" s="29">
        <v>1</v>
      </c>
      <c r="F1473" s="17"/>
      <c r="I1473" s="4" t="b">
        <f>INT(F1471*100)=(F1471*100)</f>
        <v>1</v>
      </c>
    </row>
    <row r="1474" spans="1:9" ht="25.5" customHeight="1" x14ac:dyDescent="0.2">
      <c r="A1474" s="27">
        <v>1472</v>
      </c>
      <c r="B1474" s="29">
        <v>7083755</v>
      </c>
      <c r="C1474" s="29" t="str">
        <f ca="1">IFERROR(__xludf.DUMMYFUNCTION("GOOGLETRANSLATE(C1769,""en"",""hr"")"),"Jedinica za podršku")</f>
        <v>Jedinica za podršku</v>
      </c>
      <c r="D1474" s="28" t="s">
        <v>11</v>
      </c>
      <c r="E1474" s="29">
        <v>1</v>
      </c>
      <c r="F1474" s="17"/>
    </row>
    <row r="1475" spans="1:9" ht="25.5" customHeight="1" x14ac:dyDescent="0.2">
      <c r="A1475" s="27">
        <v>1473</v>
      </c>
      <c r="B1475" s="29">
        <v>7083764</v>
      </c>
      <c r="C1475" s="29" t="str">
        <f ca="1">IFERROR(__xludf.DUMMYFUNCTION("GOOGLETRANSLATE(C1770,""en"",""hr"")"),"Pol")</f>
        <v>Pol</v>
      </c>
      <c r="D1475" s="28" t="s">
        <v>11</v>
      </c>
      <c r="E1475" s="29">
        <v>1</v>
      </c>
      <c r="F1475" s="17"/>
    </row>
    <row r="1476" spans="1:9" ht="25.5" customHeight="1" x14ac:dyDescent="0.2">
      <c r="A1476" s="27">
        <v>1474</v>
      </c>
      <c r="B1476" s="29">
        <v>7083765</v>
      </c>
      <c r="C1476" s="29" t="str">
        <f ca="1">IFERROR(__xludf.DUMMYFUNCTION("GOOGLETRANSLATE(C1776,""en"",""hr"")"),"Pol")</f>
        <v>Pol</v>
      </c>
      <c r="D1476" s="28" t="s">
        <v>11</v>
      </c>
      <c r="E1476" s="29">
        <v>1</v>
      </c>
      <c r="F1476" s="17"/>
    </row>
    <row r="1477" spans="1:9" ht="25.5" customHeight="1" x14ac:dyDescent="0.2">
      <c r="A1477" s="27">
        <v>1475</v>
      </c>
      <c r="B1477" s="29">
        <v>7083774</v>
      </c>
      <c r="C1477" s="29" t="str">
        <f ca="1">IFERROR(__xludf.DUMMYFUNCTION("GOOGLETRANSLATE(C644,""en"",""hr"")"),"Pogon na kotačima")</f>
        <v>Pogon na kotačima</v>
      </c>
      <c r="D1477" s="28" t="s">
        <v>11</v>
      </c>
      <c r="E1477" s="29">
        <v>1</v>
      </c>
      <c r="F1477" s="17"/>
      <c r="I1477" s="4" t="b">
        <f>INT(F1475*100)=(F1475*100)</f>
        <v>1</v>
      </c>
    </row>
    <row r="1478" spans="1:9" ht="25.5" customHeight="1" x14ac:dyDescent="0.2">
      <c r="A1478" s="27">
        <v>1476</v>
      </c>
      <c r="B1478" s="29">
        <v>7083789</v>
      </c>
      <c r="C1478" s="29" t="str">
        <f ca="1">IFERROR(__xludf.DUMMYFUNCTION("GOOGLETRANSLATE(C1772,""en"",""hr"")"),"Rasterećenje naprezanja")</f>
        <v>Rasterećenje naprezanja</v>
      </c>
      <c r="D1478" s="28" t="s">
        <v>11</v>
      </c>
      <c r="E1478" s="29">
        <v>1</v>
      </c>
      <c r="F1478" s="17"/>
    </row>
    <row r="1479" spans="1:9" ht="25.5" customHeight="1" x14ac:dyDescent="0.2">
      <c r="A1479" s="27">
        <v>1477</v>
      </c>
      <c r="B1479" s="29">
        <v>7083798</v>
      </c>
      <c r="C1479" s="29" t="str">
        <f ca="1">IFERROR(__xludf.DUMMYFUNCTION("GOOGLETRANSLATE(C1773,""en"",""hr"")"),"Pol")</f>
        <v>Pol</v>
      </c>
      <c r="D1479" s="28" t="s">
        <v>11</v>
      </c>
      <c r="E1479" s="29">
        <v>1</v>
      </c>
      <c r="F1479" s="17"/>
    </row>
    <row r="1480" spans="1:9" ht="25.5" customHeight="1" x14ac:dyDescent="0.2">
      <c r="A1480" s="27">
        <v>1478</v>
      </c>
      <c r="B1480" s="29">
        <v>7083803</v>
      </c>
      <c r="C1480" s="29" t="str">
        <f ca="1">IFERROR(__xludf.DUMMYFUNCTION("GOOGLETRANSLATE(C1811,""en"",""hr"")"),"Držač")</f>
        <v>Držač</v>
      </c>
      <c r="D1480" s="28" t="s">
        <v>11</v>
      </c>
      <c r="E1480" s="29">
        <v>1</v>
      </c>
      <c r="F1480" s="17"/>
    </row>
    <row r="1481" spans="1:9" ht="25.5" customHeight="1" x14ac:dyDescent="0.2">
      <c r="A1481" s="27">
        <v>1479</v>
      </c>
      <c r="B1481" s="29">
        <v>7083962</v>
      </c>
      <c r="C1481" s="29" t="str">
        <f ca="1">IFERROR(__xludf.DUMMYFUNCTION("GOOGLETRANSLATE(C3055,""en"",""hr"")"),"Usisna mlaznica, lanac")</f>
        <v>Usisna mlaznica, lanac</v>
      </c>
      <c r="D1481" s="28" t="s">
        <v>11</v>
      </c>
      <c r="E1481" s="29">
        <v>1</v>
      </c>
      <c r="F1481" s="17"/>
    </row>
    <row r="1482" spans="1:9" ht="25.5" customHeight="1" x14ac:dyDescent="0.2">
      <c r="A1482" s="27">
        <v>1480</v>
      </c>
      <c r="B1482" s="29">
        <v>7084041</v>
      </c>
      <c r="C1482" s="29" t="str">
        <f ca="1">IFERROR(__xludf.DUMMYFUNCTION("GOOGLETRANSLATE(C5272,""en"",""hr"")"),"Držač")</f>
        <v>Držač</v>
      </c>
      <c r="D1482" s="28" t="s">
        <v>11</v>
      </c>
      <c r="E1482" s="29">
        <v>1</v>
      </c>
      <c r="F1482" s="17"/>
    </row>
    <row r="1483" spans="1:9" ht="25.5" customHeight="1" x14ac:dyDescent="0.2">
      <c r="A1483" s="27">
        <v>1481</v>
      </c>
      <c r="B1483" s="29">
        <v>7084046</v>
      </c>
      <c r="C1483" s="29" t="str">
        <f ca="1">IFERROR(__xludf.DUMMYFUNCTION("GOOGLETRANSLATE(C5274,""en"",""hr"")"),"Držač")</f>
        <v>Držač</v>
      </c>
      <c r="D1483" s="28" t="s">
        <v>11</v>
      </c>
      <c r="E1483" s="29">
        <v>1</v>
      </c>
      <c r="F1483" s="17"/>
    </row>
    <row r="1484" spans="1:9" ht="25.5" customHeight="1" x14ac:dyDescent="0.2">
      <c r="A1484" s="27">
        <v>1482</v>
      </c>
      <c r="B1484" s="29">
        <v>7084149</v>
      </c>
      <c r="C1484" s="29" t="str">
        <f ca="1">IFERROR(__xludf.DUMMYFUNCTION("GOOGLETRANSLATE(C1977,""en"",""hr"")"),"Paralelogram - štap")</f>
        <v>Paralelogram - štap</v>
      </c>
      <c r="D1484" s="28" t="s">
        <v>11</v>
      </c>
      <c r="E1484" s="29">
        <v>1</v>
      </c>
      <c r="F1484" s="17"/>
    </row>
    <row r="1485" spans="1:9" ht="25.5" customHeight="1" x14ac:dyDescent="0.2">
      <c r="A1485" s="27">
        <v>1483</v>
      </c>
      <c r="B1485" s="29">
        <v>7084453</v>
      </c>
      <c r="C1485" s="29" t="str">
        <f ca="1">IFERROR(__xludf.DUMMYFUNCTION("GOOGLETRANSLATE(C1781,""en"",""hr"")"),"Zaštita")</f>
        <v>Zaštita</v>
      </c>
      <c r="D1485" s="28" t="s">
        <v>11</v>
      </c>
      <c r="E1485" s="29">
        <v>1</v>
      </c>
      <c r="F1485" s="17"/>
    </row>
    <row r="1486" spans="1:9" ht="25.5" customHeight="1" x14ac:dyDescent="0.2">
      <c r="A1486" s="27">
        <v>1484</v>
      </c>
      <c r="B1486" s="29">
        <v>7084479</v>
      </c>
      <c r="C1486" s="29" t="str">
        <f ca="1">IFERROR(__xludf.DUMMYFUNCTION("GOOGLETRANSLATE(C59,""en"",""hr"")"),"Bočna pregača")</f>
        <v>Bočna pregača</v>
      </c>
      <c r="D1486" s="28" t="s">
        <v>11</v>
      </c>
      <c r="E1486" s="29">
        <v>1</v>
      </c>
      <c r="F1486" s="17"/>
    </row>
    <row r="1487" spans="1:9" ht="25.5" customHeight="1" x14ac:dyDescent="0.2">
      <c r="A1487" s="27">
        <v>1485</v>
      </c>
      <c r="B1487" s="29">
        <v>7084484</v>
      </c>
      <c r="C1487" s="29" t="str">
        <f ca="1">IFERROR(__xludf.DUMMYFUNCTION("GOOGLETRANSLATE(C3058,""en"",""hr"")"),"Set dijelova za naknadnu ugradnju")</f>
        <v>Set dijelova za naknadnu ugradnju</v>
      </c>
      <c r="D1487" s="28" t="s">
        <v>11</v>
      </c>
      <c r="E1487" s="29">
        <v>1</v>
      </c>
      <c r="F1487" s="17"/>
    </row>
    <row r="1488" spans="1:9" ht="25.5" customHeight="1" x14ac:dyDescent="0.2">
      <c r="A1488" s="27">
        <v>1486</v>
      </c>
      <c r="B1488" s="29">
        <v>7084498</v>
      </c>
      <c r="C1488" s="29" t="str">
        <f ca="1">IFERROR(__xludf.DUMMYFUNCTION("GOOGLETRANSLATE(C1725,""en"",""hr"")"),"Držač")</f>
        <v>Držač</v>
      </c>
      <c r="D1488" s="28" t="s">
        <v>11</v>
      </c>
      <c r="E1488" s="29">
        <v>1</v>
      </c>
      <c r="F1488" s="17"/>
    </row>
    <row r="1489" spans="1:9" ht="25.5" customHeight="1" x14ac:dyDescent="0.2">
      <c r="A1489" s="27">
        <v>1487</v>
      </c>
      <c r="B1489" s="29">
        <v>7084608</v>
      </c>
      <c r="C1489" s="29" t="str">
        <f ca="1">IFERROR(__xludf.DUMMYFUNCTION("GOOGLETRANSLATE(C6652,""en"",""hr"")"),"Razmaknica")</f>
        <v>Razmaknica</v>
      </c>
      <c r="D1489" s="28" t="s">
        <v>11</v>
      </c>
      <c r="E1489" s="29">
        <v>1</v>
      </c>
      <c r="F1489" s="17"/>
    </row>
    <row r="1490" spans="1:9" ht="25.5" customHeight="1" x14ac:dyDescent="0.2">
      <c r="A1490" s="27">
        <v>1488</v>
      </c>
      <c r="B1490" s="29">
        <v>7084710</v>
      </c>
      <c r="C1490" s="29" t="str">
        <f ca="1">IFERROR(__xludf.DUMMYFUNCTION("GOOGLETRANSLATE(C3730,""en"",""hr"")"),"Držač")</f>
        <v>Držač</v>
      </c>
      <c r="D1490" s="28" t="s">
        <v>11</v>
      </c>
      <c r="E1490" s="29">
        <v>1</v>
      </c>
      <c r="F1490" s="17"/>
    </row>
    <row r="1491" spans="1:9" ht="25.5" customHeight="1" x14ac:dyDescent="0.2">
      <c r="A1491" s="27">
        <v>1489</v>
      </c>
      <c r="B1491" s="29">
        <v>7085091</v>
      </c>
      <c r="C1491" s="29" t="str">
        <f ca="1">IFERROR(__xludf.DUMMYFUNCTION("GOOGLETRANSLATE(C5569,""en"",""hr"")"),"Crijevo")</f>
        <v>Crijevo</v>
      </c>
      <c r="D1491" s="28" t="s">
        <v>11</v>
      </c>
      <c r="E1491" s="29">
        <v>1</v>
      </c>
      <c r="F1491" s="17"/>
    </row>
    <row r="1492" spans="1:9" ht="25.5" customHeight="1" x14ac:dyDescent="0.2">
      <c r="A1492" s="27">
        <v>1490</v>
      </c>
      <c r="B1492" s="29">
        <v>7085093</v>
      </c>
      <c r="C1492" s="29" t="str">
        <f ca="1">IFERROR(__xludf.DUMMYFUNCTION("GOOGLETRANSLATE(C5571,""en"",""hr"")"),"Crijevo")</f>
        <v>Crijevo</v>
      </c>
      <c r="D1492" s="28" t="s">
        <v>11</v>
      </c>
      <c r="E1492" s="29">
        <v>1</v>
      </c>
      <c r="F1492" s="17"/>
    </row>
    <row r="1493" spans="1:9" ht="25.5" customHeight="1" x14ac:dyDescent="0.2">
      <c r="A1493" s="27">
        <v>1491</v>
      </c>
      <c r="B1493" s="29">
        <v>7085330</v>
      </c>
      <c r="C1493" s="29" t="str">
        <f ca="1">IFERROR(__xludf.DUMMYFUNCTION("GOOGLETRANSLATE(C6307,""en"",""hr"")"),"Kabelski svežanj (+PP-EV)")</f>
        <v>Kabelski svežanj (+PP-EV)</v>
      </c>
      <c r="D1493" s="28" t="s">
        <v>11</v>
      </c>
      <c r="E1493" s="29">
        <v>1</v>
      </c>
      <c r="F1493" s="17"/>
    </row>
    <row r="1494" spans="1:9" ht="25.5" customHeight="1" x14ac:dyDescent="0.2">
      <c r="A1494" s="27">
        <v>1492</v>
      </c>
      <c r="B1494" s="29">
        <v>7085337</v>
      </c>
      <c r="C1494" s="29" t="str">
        <f ca="1">IFERROR(__xludf.DUMMYFUNCTION("GOOGLETRANSLATE(C1813,""en"",""hr"")"),"Držač")</f>
        <v>Držač</v>
      </c>
      <c r="D1494" s="28" t="s">
        <v>11</v>
      </c>
      <c r="E1494" s="29">
        <v>1</v>
      </c>
      <c r="F1494" s="17"/>
    </row>
    <row r="1495" spans="1:9" ht="25.5" customHeight="1" x14ac:dyDescent="0.2">
      <c r="A1495" s="27">
        <v>1493</v>
      </c>
      <c r="B1495" s="29">
        <v>7085338</v>
      </c>
      <c r="C1495" s="29" t="str">
        <f ca="1">IFERROR(__xludf.DUMMYFUNCTION("GOOGLETRANSLATE(C1812,""en"",""hr"")"),"Rasterećenje naprezanja")</f>
        <v>Rasterećenje naprezanja</v>
      </c>
      <c r="D1495" s="28" t="s">
        <v>11</v>
      </c>
      <c r="E1495" s="29">
        <v>1</v>
      </c>
      <c r="F1495" s="17"/>
      <c r="I1495" s="4" t="b">
        <f>INT(F1493*100)=(F1493*100)</f>
        <v>1</v>
      </c>
    </row>
    <row r="1496" spans="1:9" ht="25.5" customHeight="1" x14ac:dyDescent="0.2">
      <c r="A1496" s="27">
        <v>1494</v>
      </c>
      <c r="B1496" s="29">
        <v>7085348</v>
      </c>
      <c r="C1496" s="29" t="str">
        <f ca="1">IFERROR(__xludf.DUMMYFUNCTION("GOOGLETRANSLATE(C1714,""en"",""hr"")"),"Ožičenje")</f>
        <v>Ožičenje</v>
      </c>
      <c r="D1496" s="28" t="s">
        <v>11</v>
      </c>
      <c r="E1496" s="29">
        <v>1</v>
      </c>
      <c r="F1496" s="17"/>
    </row>
    <row r="1497" spans="1:9" ht="25.5" customHeight="1" x14ac:dyDescent="0.2">
      <c r="A1497" s="27">
        <v>1495</v>
      </c>
      <c r="B1497" s="29">
        <v>7085350</v>
      </c>
      <c r="C1497" s="29" t="str">
        <f ca="1">IFERROR(__xludf.DUMMYFUNCTION("GOOGLETRANSLATE(C1713,""en"",""hr"")"),"Ožičenje")</f>
        <v>Ožičenje</v>
      </c>
      <c r="D1497" s="28" t="s">
        <v>11</v>
      </c>
      <c r="E1497" s="29">
        <v>1</v>
      </c>
      <c r="F1497" s="17"/>
    </row>
    <row r="1498" spans="1:9" ht="25.5" customHeight="1" x14ac:dyDescent="0.2">
      <c r="A1498" s="27">
        <v>1496</v>
      </c>
      <c r="B1498" s="29">
        <v>7085533</v>
      </c>
      <c r="C1498" s="29" t="str">
        <f ca="1">IFERROR(__xludf.DUMMYFUNCTION("GOOGLETRANSLATE(C4708,""en"",""hr"")"),"Zaštita, bijela")</f>
        <v>Zaštita, bijela</v>
      </c>
      <c r="D1498" s="28" t="s">
        <v>11</v>
      </c>
      <c r="E1498" s="29">
        <v>1</v>
      </c>
      <c r="F1498" s="17"/>
      <c r="I1498" s="4" t="b">
        <f>INT(F1496*100)=(F1496*100)</f>
        <v>1</v>
      </c>
    </row>
    <row r="1499" spans="1:9" ht="25.5" customHeight="1" x14ac:dyDescent="0.2">
      <c r="A1499" s="27">
        <v>1497</v>
      </c>
      <c r="B1499" s="29">
        <v>7085628</v>
      </c>
      <c r="C1499" s="29" t="str">
        <f ca="1">IFERROR(__xludf.DUMMYFUNCTION("GOOGLETRANSLATE(C1041,""en"",""hr"")"),"Zaštita ventilatora")</f>
        <v>Zaštita ventilatora</v>
      </c>
      <c r="D1499" s="28" t="s">
        <v>11</v>
      </c>
      <c r="E1499" s="29">
        <v>1</v>
      </c>
      <c r="F1499" s="17"/>
    </row>
    <row r="1500" spans="1:9" ht="25.5" customHeight="1" x14ac:dyDescent="0.2">
      <c r="A1500" s="27">
        <v>1498</v>
      </c>
      <c r="B1500" s="29">
        <v>7085629</v>
      </c>
      <c r="C1500" s="29" t="str">
        <f ca="1">IFERROR(__xludf.DUMMYFUNCTION("GOOGLETRANSLATE(C1042,""en"",""hr"")"),"Zaštita ventilatora")</f>
        <v>Zaštita ventilatora</v>
      </c>
      <c r="D1500" s="28" t="s">
        <v>11</v>
      </c>
      <c r="E1500" s="29">
        <v>1</v>
      </c>
      <c r="F1500" s="17"/>
    </row>
    <row r="1501" spans="1:9" ht="25.5" customHeight="1" x14ac:dyDescent="0.2">
      <c r="A1501" s="27">
        <v>1499</v>
      </c>
      <c r="B1501" s="29">
        <v>7085630</v>
      </c>
      <c r="C1501" s="29" t="str">
        <f ca="1">IFERROR(__xludf.DUMMYFUNCTION("GOOGLETRANSLATE(C1043,""en"",""hr"")"),"Zaštita ventilatora")</f>
        <v>Zaštita ventilatora</v>
      </c>
      <c r="D1501" s="28" t="s">
        <v>11</v>
      </c>
      <c r="E1501" s="29">
        <v>1</v>
      </c>
      <c r="F1501" s="17"/>
    </row>
    <row r="1502" spans="1:9" ht="25.5" customHeight="1" x14ac:dyDescent="0.2">
      <c r="A1502" s="27">
        <v>1500</v>
      </c>
      <c r="B1502" s="29">
        <v>7085631</v>
      </c>
      <c r="C1502" s="29" t="str">
        <f ca="1">IFERROR(__xludf.DUMMYFUNCTION("GOOGLETRANSLATE(C1014,""en"",""hr"")"),"Držač")</f>
        <v>Držač</v>
      </c>
      <c r="D1502" s="28" t="s">
        <v>11</v>
      </c>
      <c r="E1502" s="29">
        <v>1</v>
      </c>
      <c r="F1502" s="17"/>
      <c r="I1502" s="4" t="b">
        <f>INT(F1500*100)=(F1500*100)</f>
        <v>1</v>
      </c>
    </row>
    <row r="1503" spans="1:9" ht="25.5" customHeight="1" x14ac:dyDescent="0.2">
      <c r="A1503" s="27">
        <v>1501</v>
      </c>
      <c r="B1503" s="29">
        <v>7085632</v>
      </c>
      <c r="C1503" s="29" t="str">
        <f ca="1">IFERROR(__xludf.DUMMYFUNCTION("GOOGLETRANSLATE(C1061,""en"",""hr"")"),"Držač")</f>
        <v>Držač</v>
      </c>
      <c r="D1503" s="28" t="s">
        <v>11</v>
      </c>
      <c r="E1503" s="29">
        <v>1</v>
      </c>
      <c r="F1503" s="17"/>
    </row>
    <row r="1504" spans="1:9" ht="25.5" customHeight="1" x14ac:dyDescent="0.2">
      <c r="A1504" s="27">
        <v>1502</v>
      </c>
      <c r="B1504" s="29">
        <v>7086134</v>
      </c>
      <c r="C1504" s="29" t="str">
        <f ca="1">IFERROR(__xludf.DUMMYFUNCTION("GOOGLETRANSLATE(C1368,""en"",""hr"")"),"Straža")</f>
        <v>Straža</v>
      </c>
      <c r="D1504" s="28" t="s">
        <v>11</v>
      </c>
      <c r="E1504" s="29">
        <v>1</v>
      </c>
      <c r="F1504" s="17"/>
    </row>
    <row r="1505" spans="1:6" ht="25.5" customHeight="1" x14ac:dyDescent="0.2">
      <c r="A1505" s="27">
        <v>1503</v>
      </c>
      <c r="B1505" s="29">
        <v>7086138</v>
      </c>
      <c r="C1505" s="29" t="str">
        <f ca="1">IFERROR(__xludf.DUMMYFUNCTION("GOOGLETRANSLATE(C967,""en"",""hr"")"),"Držač")</f>
        <v>Držač</v>
      </c>
      <c r="D1505" s="28" t="s">
        <v>11</v>
      </c>
      <c r="E1505" s="29">
        <v>1</v>
      </c>
      <c r="F1505" s="17"/>
    </row>
    <row r="1506" spans="1:6" ht="25.5" customHeight="1" x14ac:dyDescent="0.2">
      <c r="A1506" s="27">
        <v>1504</v>
      </c>
      <c r="B1506" s="29">
        <v>7086278</v>
      </c>
      <c r="C1506" s="29" t="str">
        <f ca="1">IFERROR(__xludf.DUMMYFUNCTION("GOOGLETRANSLATE(C931,""en"",""hr"")"),"Motor")</f>
        <v>Motor</v>
      </c>
      <c r="D1506" s="28" t="s">
        <v>11</v>
      </c>
      <c r="E1506" s="29">
        <v>1</v>
      </c>
      <c r="F1506" s="17"/>
    </row>
    <row r="1507" spans="1:6" ht="25.5" customHeight="1" x14ac:dyDescent="0.2">
      <c r="A1507" s="27">
        <v>1505</v>
      </c>
      <c r="B1507" s="29">
        <v>7086337</v>
      </c>
      <c r="C1507" s="29" t="str">
        <f ca="1">IFERROR(__xludf.DUMMYFUNCTION("GOOGLETRANSLATE(C973,""en"",""hr"")"),"Kontrolna jedinica")</f>
        <v>Kontrolna jedinica</v>
      </c>
      <c r="D1507" s="28" t="s">
        <v>11</v>
      </c>
      <c r="E1507" s="29">
        <v>1</v>
      </c>
      <c r="F1507" s="17"/>
    </row>
    <row r="1508" spans="1:6" ht="25.5" customHeight="1" x14ac:dyDescent="0.2">
      <c r="A1508" s="27">
        <v>1506</v>
      </c>
      <c r="B1508" s="29">
        <v>7086374</v>
      </c>
      <c r="C1508" s="29" t="str">
        <f ca="1">IFERROR(__xludf.DUMMYFUNCTION("GOOGLETRANSLATE(C495,""en"",""hr"")"),"Lisnata opruga")</f>
        <v>Lisnata opruga</v>
      </c>
      <c r="D1508" s="28" t="s">
        <v>11</v>
      </c>
      <c r="E1508" s="29">
        <v>1</v>
      </c>
      <c r="F1508" s="17"/>
    </row>
    <row r="1509" spans="1:6" ht="25.5" customHeight="1" x14ac:dyDescent="0.2">
      <c r="A1509" s="27">
        <v>1507</v>
      </c>
      <c r="B1509" s="29">
        <v>7086608</v>
      </c>
      <c r="C1509" s="29" t="str">
        <f ca="1">IFERROR(__xludf.DUMMYFUNCTION("GOOGLETRANSLATE(C492,""en"",""hr"")"),"Perilica")</f>
        <v>Perilica</v>
      </c>
      <c r="D1509" s="28" t="s">
        <v>11</v>
      </c>
      <c r="E1509" s="29">
        <v>1</v>
      </c>
      <c r="F1509" s="17"/>
    </row>
    <row r="1510" spans="1:6" ht="25.5" customHeight="1" x14ac:dyDescent="0.2">
      <c r="A1510" s="27">
        <v>1508</v>
      </c>
      <c r="B1510" s="29">
        <v>7086627</v>
      </c>
      <c r="C1510" s="29" t="str">
        <f ca="1">IFERROR(__xludf.DUMMYFUNCTION("GOOGLETRANSLATE(C5560,""en"",""hr"")"),"Držač")</f>
        <v>Držač</v>
      </c>
      <c r="D1510" s="28" t="s">
        <v>11</v>
      </c>
      <c r="E1510" s="29">
        <v>1</v>
      </c>
      <c r="F1510" s="17"/>
    </row>
    <row r="1511" spans="1:6" ht="25.5" customHeight="1" x14ac:dyDescent="0.2">
      <c r="A1511" s="27">
        <v>1509</v>
      </c>
      <c r="B1511" s="29">
        <v>7086633</v>
      </c>
      <c r="C1511" s="29" t="str">
        <f ca="1">IFERROR(__xludf.DUMMYFUNCTION("GOOGLETRANSLATE(C3601,""en"",""hr"")"),"Theraded šipka")</f>
        <v>Theraded šipka</v>
      </c>
      <c r="D1511" s="28" t="s">
        <v>11</v>
      </c>
      <c r="E1511" s="29">
        <v>1</v>
      </c>
      <c r="F1511" s="17"/>
    </row>
    <row r="1512" spans="1:6" ht="25.5" customHeight="1" x14ac:dyDescent="0.2">
      <c r="A1512" s="27">
        <v>1510</v>
      </c>
      <c r="B1512" s="29">
        <v>7087028</v>
      </c>
      <c r="C1512" s="29" t="str">
        <f ca="1">IFERROR(__xludf.DUMMYFUNCTION("GOOGLETRANSLATE(C3090,""en"",""hr"")"),"Bočna pregača")</f>
        <v>Bočna pregača</v>
      </c>
      <c r="D1512" s="28" t="s">
        <v>11</v>
      </c>
      <c r="E1512" s="29">
        <v>1</v>
      </c>
      <c r="F1512" s="17"/>
    </row>
    <row r="1513" spans="1:6" ht="25.5" customHeight="1" x14ac:dyDescent="0.2">
      <c r="A1513" s="27">
        <v>1511</v>
      </c>
      <c r="B1513" s="29">
        <v>7087126</v>
      </c>
      <c r="C1513" s="29" t="str">
        <f ca="1">IFERROR(__xludf.DUMMYFUNCTION("GOOGLETRANSLATE(C5563,""en"",""hr"")"),"Držač")</f>
        <v>Držač</v>
      </c>
      <c r="D1513" s="28" t="s">
        <v>11</v>
      </c>
      <c r="E1513" s="29">
        <v>1</v>
      </c>
      <c r="F1513" s="17"/>
    </row>
    <row r="1514" spans="1:6" ht="25.5" customHeight="1" x14ac:dyDescent="0.2">
      <c r="A1514" s="27">
        <v>1512</v>
      </c>
      <c r="B1514" s="29">
        <v>7087127</v>
      </c>
      <c r="C1514" s="29" t="str">
        <f ca="1">IFERROR(__xludf.DUMMYFUNCTION("GOOGLETRANSLATE(C5564,""en"",""hr"")"),"Metalni lim")</f>
        <v>Metalni lim</v>
      </c>
      <c r="D1514" s="28" t="s">
        <v>11</v>
      </c>
      <c r="E1514" s="29">
        <v>1</v>
      </c>
      <c r="F1514" s="17"/>
    </row>
    <row r="1515" spans="1:6" ht="25.5" customHeight="1" x14ac:dyDescent="0.2">
      <c r="A1515" s="27">
        <v>1513</v>
      </c>
      <c r="B1515" s="29">
        <v>7087335</v>
      </c>
      <c r="C1515" s="29" t="str">
        <f ca="1">IFERROR(__xludf.DUMMYFUNCTION("GOOGLETRANSLATE(C5068,""en"",""hr"")"),"Poluga LH otvarač vrata")</f>
        <v>Poluga LH otvarač vrata</v>
      </c>
      <c r="D1515" s="28" t="s">
        <v>11</v>
      </c>
      <c r="E1515" s="29">
        <v>1</v>
      </c>
      <c r="F1515" s="17"/>
    </row>
    <row r="1516" spans="1:6" ht="25.5" customHeight="1" x14ac:dyDescent="0.2">
      <c r="A1516" s="27">
        <v>1514</v>
      </c>
      <c r="B1516" s="29">
        <v>7087336</v>
      </c>
      <c r="C1516" s="29" t="str">
        <f ca="1">IFERROR(__xludf.DUMMYFUNCTION("GOOGLETRANSLATE(C5098,""en"",""hr"")"),"Poluga RH otvarač vrata")</f>
        <v>Poluga RH otvarač vrata</v>
      </c>
      <c r="D1516" s="28" t="s">
        <v>11</v>
      </c>
      <c r="E1516" s="29">
        <v>1</v>
      </c>
      <c r="F1516" s="17"/>
    </row>
    <row r="1517" spans="1:6" ht="25.5" customHeight="1" x14ac:dyDescent="0.2">
      <c r="A1517" s="27">
        <v>1515</v>
      </c>
      <c r="B1517" s="29">
        <v>7087502</v>
      </c>
      <c r="C1517" s="29" t="str">
        <f ca="1">IFERROR(__xludf.DUMMYFUNCTION("GOOGLETRANSLATE(C5418,""en"",""hr"")"),"Vozačko sjedalo, lijeva strana - Deluxe")</f>
        <v>Vozačko sjedalo, lijeva strana - Deluxe</v>
      </c>
      <c r="D1517" s="28" t="s">
        <v>11</v>
      </c>
      <c r="E1517" s="29">
        <v>1</v>
      </c>
      <c r="F1517" s="17"/>
    </row>
    <row r="1518" spans="1:6" ht="25.5" customHeight="1" x14ac:dyDescent="0.2">
      <c r="A1518" s="27">
        <v>1516</v>
      </c>
      <c r="B1518" s="29">
        <v>7087503</v>
      </c>
      <c r="C1518" s="29" t="str">
        <f ca="1">IFERROR(__xludf.DUMMYFUNCTION("GOOGLETRANSLATE(C5417,""en"",""hr"")"),"Sjedalo vozača desno - Deluxe")</f>
        <v>Sjedalo vozača desno - Deluxe</v>
      </c>
      <c r="D1518" s="28" t="s">
        <v>11</v>
      </c>
      <c r="E1518" s="29">
        <v>1</v>
      </c>
      <c r="F1518" s="17"/>
    </row>
    <row r="1519" spans="1:6" ht="25.5" customHeight="1" x14ac:dyDescent="0.2">
      <c r="A1519" s="27">
        <v>1517</v>
      </c>
      <c r="B1519" s="29">
        <v>7087594</v>
      </c>
      <c r="C1519" s="29" t="str">
        <f ca="1">IFERROR(__xludf.DUMMYFUNCTION("GOOGLETRANSLATE(C1034,""en"",""hr"")"),"Držač")</f>
        <v>Držač</v>
      </c>
      <c r="D1519" s="28" t="s">
        <v>11</v>
      </c>
      <c r="E1519" s="29">
        <v>1</v>
      </c>
      <c r="F1519" s="17"/>
    </row>
    <row r="1520" spans="1:6" ht="25.5" customHeight="1" x14ac:dyDescent="0.2">
      <c r="A1520" s="27">
        <v>1518</v>
      </c>
      <c r="B1520" s="29">
        <v>7087652</v>
      </c>
      <c r="C1520" s="29" t="str">
        <f ca="1">IFERROR(__xludf.DUMMYFUNCTION("GOOGLETRANSLATE(C5273,""en"",""hr"")"),"Držač")</f>
        <v>Držač</v>
      </c>
      <c r="D1520" s="28" t="s">
        <v>11</v>
      </c>
      <c r="E1520" s="29">
        <v>1</v>
      </c>
      <c r="F1520" s="17"/>
    </row>
    <row r="1521" spans="1:9" ht="25.5" customHeight="1" x14ac:dyDescent="0.2">
      <c r="A1521" s="27">
        <v>1519</v>
      </c>
      <c r="B1521" s="29">
        <v>7087663</v>
      </c>
      <c r="C1521" s="29" t="str">
        <f ca="1">IFERROR(__xludf.DUMMYFUNCTION("GOOGLETRANSLATE(C2032,""en"",""hr"")"),"Zagrada")</f>
        <v>Zagrada</v>
      </c>
      <c r="D1521" s="28" t="s">
        <v>11</v>
      </c>
      <c r="E1521" s="29">
        <v>1</v>
      </c>
      <c r="F1521" s="17"/>
      <c r="I1521" s="4" t="b">
        <f>INT(F1519*100)=(F1519*100)</f>
        <v>1</v>
      </c>
    </row>
    <row r="1522" spans="1:9" ht="25.5" customHeight="1" x14ac:dyDescent="0.2">
      <c r="A1522" s="27">
        <v>1520</v>
      </c>
      <c r="B1522" s="29">
        <v>7087685</v>
      </c>
      <c r="C1522" s="29" t="str">
        <f ca="1">IFERROR(__xludf.DUMMYFUNCTION("GOOGLETRANSLATE(C1526,""en"",""hr"")"),"Visokonaponski kabelski kompresor")</f>
        <v>Visokonaponski kabelski kompresor</v>
      </c>
      <c r="D1522" s="28" t="s">
        <v>11</v>
      </c>
      <c r="E1522" s="29">
        <v>1</v>
      </c>
      <c r="F1522" s="17"/>
    </row>
    <row r="1523" spans="1:9" ht="25.5" customHeight="1" x14ac:dyDescent="0.2">
      <c r="A1523" s="27">
        <v>1521</v>
      </c>
      <c r="B1523" s="29">
        <v>7087717</v>
      </c>
      <c r="C1523" s="29" t="str">
        <f ca="1">IFERROR(__xludf.DUMMYFUNCTION("GOOGLETRANSLATE(C5747,""en"",""hr"")"),"Čahura")</f>
        <v>Čahura</v>
      </c>
      <c r="D1523" s="28" t="s">
        <v>11</v>
      </c>
      <c r="E1523" s="29">
        <v>1</v>
      </c>
      <c r="F1523" s="17"/>
    </row>
    <row r="1524" spans="1:9" ht="25.5" customHeight="1" x14ac:dyDescent="0.2">
      <c r="A1524" s="27">
        <v>1522</v>
      </c>
      <c r="B1524" s="29">
        <v>7087719</v>
      </c>
      <c r="C1524" s="29" t="str">
        <f ca="1">IFERROR(__xludf.DUMMYFUNCTION("GOOGLETRANSLATE(C5421,""en"",""hr"")"),"Naslon za ruke, lijevi - Deluxe")</f>
        <v>Naslon za ruke, lijevi - Deluxe</v>
      </c>
      <c r="D1524" s="28" t="s">
        <v>11</v>
      </c>
      <c r="E1524" s="29">
        <v>1</v>
      </c>
      <c r="F1524" s="17"/>
      <c r="I1524" s="4" t="b">
        <f>INT(F1522*100)=(F1522*100)</f>
        <v>1</v>
      </c>
    </row>
    <row r="1525" spans="1:9" ht="25.5" customHeight="1" x14ac:dyDescent="0.2">
      <c r="A1525" s="27">
        <v>1523</v>
      </c>
      <c r="B1525" s="29">
        <v>7087720</v>
      </c>
      <c r="C1525" s="29" t="str">
        <f ca="1">IFERROR(__xludf.DUMMYFUNCTION("GOOGLETRANSLATE(C1095,""en"",""hr"")"),"Komad s navojem")</f>
        <v>Komad s navojem</v>
      </c>
      <c r="D1525" s="28" t="s">
        <v>11</v>
      </c>
      <c r="E1525" s="29">
        <v>1</v>
      </c>
      <c r="F1525" s="17"/>
    </row>
    <row r="1526" spans="1:9" ht="25.5" customHeight="1" x14ac:dyDescent="0.2">
      <c r="A1526" s="27">
        <v>1524</v>
      </c>
      <c r="B1526" s="29">
        <v>7087722</v>
      </c>
      <c r="C1526" s="29" t="str">
        <f ca="1">IFERROR(__xludf.DUMMYFUNCTION("GOOGLETRANSLATE(C1096,""en"",""hr"")"),"O-prsten")</f>
        <v>O-prsten</v>
      </c>
      <c r="D1526" s="28" t="s">
        <v>11</v>
      </c>
      <c r="E1526" s="29">
        <v>1</v>
      </c>
      <c r="F1526" s="17"/>
    </row>
    <row r="1527" spans="1:9" ht="25.5" customHeight="1" x14ac:dyDescent="0.2">
      <c r="A1527" s="27">
        <v>1525</v>
      </c>
      <c r="B1527" s="29">
        <v>7087750</v>
      </c>
      <c r="C1527" s="29" t="str">
        <f ca="1">IFERROR(__xludf.DUMMYFUNCTION("GOOGLETRANSLATE(C5423,""en"",""hr"")"),"Navlaka za sjedalo Deluxe - crna")</f>
        <v>Navlaka za sjedalo Deluxe - crna</v>
      </c>
      <c r="D1527" s="28" t="s">
        <v>11</v>
      </c>
      <c r="E1527" s="29">
        <v>1</v>
      </c>
      <c r="F1527" s="17"/>
    </row>
    <row r="1528" spans="1:9" ht="25.5" customHeight="1" x14ac:dyDescent="0.2">
      <c r="A1528" s="27">
        <v>1526</v>
      </c>
      <c r="B1528" s="29">
        <v>7087803</v>
      </c>
      <c r="C1528" s="29" t="str">
        <f ca="1">IFERROR(__xludf.DUMMYFUNCTION("GOOGLETRANSLATE(C2593,""en"",""hr"")"),"Crijevo")</f>
        <v>Crijevo</v>
      </c>
      <c r="D1528" s="28" t="s">
        <v>11</v>
      </c>
      <c r="E1528" s="29">
        <v>1</v>
      </c>
      <c r="F1528" s="17"/>
      <c r="I1528" s="4" t="b">
        <f>INT(F1526*100)=(F1526*100)</f>
        <v>1</v>
      </c>
    </row>
    <row r="1529" spans="1:9" ht="25.5" customHeight="1" x14ac:dyDescent="0.2">
      <c r="A1529" s="27">
        <v>1527</v>
      </c>
      <c r="B1529" s="29">
        <v>7087804</v>
      </c>
      <c r="C1529" s="29" t="str">
        <f ca="1">IFERROR(__xludf.DUMMYFUNCTION("GOOGLETRANSLATE(C2797,""en"",""hr"")"),"Hidraulično crijevo")</f>
        <v>Hidraulično crijevo</v>
      </c>
      <c r="D1529" s="28" t="s">
        <v>11</v>
      </c>
      <c r="E1529" s="29">
        <v>1</v>
      </c>
      <c r="F1529" s="17"/>
    </row>
    <row r="1530" spans="1:9" ht="25.5" customHeight="1" x14ac:dyDescent="0.2">
      <c r="A1530" s="27">
        <v>1528</v>
      </c>
      <c r="B1530" s="29">
        <v>7087805</v>
      </c>
      <c r="C1530" s="29" t="str">
        <f ca="1">IFERROR(__xludf.DUMMYFUNCTION("GOOGLETRANSLATE(C2793,""en"",""hr"")"),"Hidraulično crijevo")</f>
        <v>Hidraulično crijevo</v>
      </c>
      <c r="D1530" s="28" t="s">
        <v>11</v>
      </c>
      <c r="E1530" s="29">
        <v>1</v>
      </c>
      <c r="F1530" s="17"/>
    </row>
    <row r="1531" spans="1:9" ht="25.5" customHeight="1" x14ac:dyDescent="0.2">
      <c r="A1531" s="27">
        <v>1529</v>
      </c>
      <c r="B1531" s="29">
        <v>7087806</v>
      </c>
      <c r="C1531" s="29" t="str">
        <f ca="1">IFERROR(__xludf.DUMMYFUNCTION("GOOGLETRANSLATE(C2592,""en"",""hr"")"),"Crijevo")</f>
        <v>Crijevo</v>
      </c>
      <c r="D1531" s="28" t="s">
        <v>11</v>
      </c>
      <c r="E1531" s="29">
        <v>1</v>
      </c>
      <c r="F1531" s="17"/>
    </row>
    <row r="1532" spans="1:9" ht="25.5" customHeight="1" x14ac:dyDescent="0.2">
      <c r="A1532" s="27">
        <v>1530</v>
      </c>
      <c r="B1532" s="29">
        <v>7087808</v>
      </c>
      <c r="C1532" s="29" t="str">
        <f ca="1">IFERROR(__xludf.DUMMYFUNCTION("GOOGLETRANSLATE(C1721,""en"",""hr"")"),"Kutija")</f>
        <v>Kutija</v>
      </c>
      <c r="D1532" s="28" t="s">
        <v>11</v>
      </c>
      <c r="E1532" s="29">
        <v>1</v>
      </c>
      <c r="F1532" s="17"/>
    </row>
    <row r="1533" spans="1:9" ht="25.5" customHeight="1" x14ac:dyDescent="0.2">
      <c r="A1533" s="27">
        <v>1531</v>
      </c>
      <c r="B1533" s="29">
        <v>7087811</v>
      </c>
      <c r="C1533" s="29" t="str">
        <f ca="1">IFERROR(__xludf.DUMMYFUNCTION("GOOGLETRANSLATE(C1761,""en"",""hr"")"),"Rasterećenje naprezanja")</f>
        <v>Rasterećenje naprezanja</v>
      </c>
      <c r="D1533" s="28" t="s">
        <v>11</v>
      </c>
      <c r="E1533" s="29">
        <v>1</v>
      </c>
      <c r="F1533" s="17"/>
    </row>
    <row r="1534" spans="1:9" ht="25.5" customHeight="1" x14ac:dyDescent="0.2">
      <c r="A1534" s="27">
        <v>1532</v>
      </c>
      <c r="B1534" s="29">
        <v>7087812</v>
      </c>
      <c r="C1534" s="29" t="str">
        <f ca="1">IFERROR(__xludf.DUMMYFUNCTION("GOOGLETRANSLATE(C1757,""en"",""hr"")"),"Jedinica za podršku")</f>
        <v>Jedinica za podršku</v>
      </c>
      <c r="D1534" s="28" t="s">
        <v>11</v>
      </c>
      <c r="E1534" s="29">
        <v>1</v>
      </c>
      <c r="F1534" s="17"/>
    </row>
    <row r="1535" spans="1:9" ht="25.5" customHeight="1" x14ac:dyDescent="0.2">
      <c r="A1535" s="27">
        <v>1533</v>
      </c>
      <c r="B1535" s="29">
        <v>7087818</v>
      </c>
      <c r="C1535" s="29" t="str">
        <f ca="1">IFERROR(__xludf.DUMMYFUNCTION("GOOGLETRANSLATE(C1756,""en"",""hr"")"),"Ploča za pričvršćivanje")</f>
        <v>Ploča za pričvršćivanje</v>
      </c>
      <c r="D1535" s="28" t="s">
        <v>11</v>
      </c>
      <c r="E1535" s="29">
        <v>1</v>
      </c>
      <c r="F1535" s="17"/>
    </row>
    <row r="1536" spans="1:9" ht="25.5" customHeight="1" x14ac:dyDescent="0.2">
      <c r="A1536" s="27">
        <v>1534</v>
      </c>
      <c r="B1536" s="29">
        <v>7087845</v>
      </c>
      <c r="C1536" s="29" t="str">
        <f ca="1">IFERROR(__xludf.DUMMYFUNCTION("GOOGLETRANSLATE(C1760,""en"",""hr"")"),"Rasterećenje naprezanja")</f>
        <v>Rasterećenje naprezanja</v>
      </c>
      <c r="D1536" s="28" t="s">
        <v>11</v>
      </c>
      <c r="E1536" s="29">
        <v>1</v>
      </c>
      <c r="F1536" s="17"/>
    </row>
    <row r="1537" spans="1:9" ht="25.5" customHeight="1" x14ac:dyDescent="0.2">
      <c r="A1537" s="27">
        <v>1535</v>
      </c>
      <c r="B1537" s="29">
        <v>7087909</v>
      </c>
      <c r="C1537" s="29" t="str">
        <f ca="1">IFERROR(__xludf.DUMMYFUNCTION("GOOGLETRANSLATE(C1917,""en"",""hr"")"),"Metalni lim")</f>
        <v>Metalni lim</v>
      </c>
      <c r="D1537" s="28" t="s">
        <v>11</v>
      </c>
      <c r="E1537" s="29">
        <v>1</v>
      </c>
      <c r="F1537" s="17"/>
    </row>
    <row r="1538" spans="1:9" ht="25.5" customHeight="1" x14ac:dyDescent="0.2">
      <c r="A1538" s="27">
        <v>1536</v>
      </c>
      <c r="B1538" s="29">
        <v>7087969</v>
      </c>
      <c r="C1538" s="29" t="str">
        <f ca="1">IFERROR(__xludf.DUMMYFUNCTION("GOOGLETRANSLATE(C1715,""en"",""hr"")"),"Kabel i utičnica")</f>
        <v>Kabel i utičnica</v>
      </c>
      <c r="D1538" s="28" t="s">
        <v>11</v>
      </c>
      <c r="E1538" s="29">
        <v>1</v>
      </c>
      <c r="F1538" s="17"/>
    </row>
    <row r="1539" spans="1:9" ht="25.5" customHeight="1" x14ac:dyDescent="0.2">
      <c r="A1539" s="27">
        <v>1537</v>
      </c>
      <c r="B1539" s="29">
        <v>7088103</v>
      </c>
      <c r="C1539" s="29" t="str">
        <f ca="1">IFERROR(__xludf.DUMMYFUNCTION("GOOGLETRANSLATE(C2983,""en"",""hr"")"),"Hidraulično crijevo")</f>
        <v>Hidraulično crijevo</v>
      </c>
      <c r="D1539" s="28" t="s">
        <v>11</v>
      </c>
      <c r="E1539" s="29">
        <v>1</v>
      </c>
      <c r="F1539" s="17"/>
    </row>
    <row r="1540" spans="1:9" ht="25.5" customHeight="1" x14ac:dyDescent="0.2">
      <c r="A1540" s="27">
        <v>1538</v>
      </c>
      <c r="B1540" s="29">
        <v>7088104</v>
      </c>
      <c r="C1540" s="29" t="str">
        <f ca="1">IFERROR(__xludf.DUMMYFUNCTION("GOOGLETRANSLATE(C2981,""en"",""hr"")"),"Hidraulično crijevo")</f>
        <v>Hidraulično crijevo</v>
      </c>
      <c r="D1540" s="28" t="s">
        <v>11</v>
      </c>
      <c r="E1540" s="29">
        <v>1</v>
      </c>
      <c r="F1540" s="17"/>
    </row>
    <row r="1541" spans="1:9" ht="25.5" customHeight="1" x14ac:dyDescent="0.2">
      <c r="A1541" s="27">
        <v>1539</v>
      </c>
      <c r="B1541" s="29">
        <v>7088130</v>
      </c>
      <c r="C1541" s="29" t="str">
        <f ca="1">IFERROR(__xludf.DUMMYFUNCTION("GOOGLETRANSLATE(C4271,""en"",""hr"")"),"Deflektor")</f>
        <v>Deflektor</v>
      </c>
      <c r="D1541" s="28" t="s">
        <v>11</v>
      </c>
      <c r="E1541" s="29">
        <v>1</v>
      </c>
      <c r="F1541" s="17"/>
    </row>
    <row r="1542" spans="1:9" ht="25.5" customHeight="1" x14ac:dyDescent="0.2">
      <c r="A1542" s="27">
        <v>1540</v>
      </c>
      <c r="B1542" s="29">
        <v>7088132</v>
      </c>
      <c r="C1542" s="29" t="str">
        <f ca="1">IFERROR(__xludf.DUMMYFUNCTION("GOOGLETRANSLATE(C4274,""en"",""hr"")"),"Lančana zavjesa kpl.")</f>
        <v>Lančana zavjesa kpl.</v>
      </c>
      <c r="D1542" s="28" t="s">
        <v>11</v>
      </c>
      <c r="E1542" s="29">
        <v>1</v>
      </c>
      <c r="F1542" s="17"/>
    </row>
    <row r="1543" spans="1:9" ht="25.5" customHeight="1" x14ac:dyDescent="0.2">
      <c r="A1543" s="27">
        <v>1541</v>
      </c>
      <c r="B1543" s="29">
        <v>7088134</v>
      </c>
      <c r="C1543" s="29" t="str">
        <f ca="1">IFERROR(__xludf.DUMMYFUNCTION("GOOGLETRANSLATE(C4269,""en"",""hr"")"),"Deflektor cpl.")</f>
        <v>Deflektor cpl.</v>
      </c>
      <c r="D1543" s="28" t="s">
        <v>11</v>
      </c>
      <c r="E1543" s="29">
        <v>1</v>
      </c>
      <c r="F1543" s="17"/>
    </row>
    <row r="1544" spans="1:9" ht="25.5" customHeight="1" x14ac:dyDescent="0.2">
      <c r="A1544" s="27">
        <v>1542</v>
      </c>
      <c r="B1544" s="29">
        <v>7088170</v>
      </c>
      <c r="C1544" s="29" t="str">
        <f ca="1">IFERROR(__xludf.DUMMYFUNCTION("GOOGLETRANSLATE(C4283,""en"",""hr"")"),"Držač za lanac")</f>
        <v>Držač za lanac</v>
      </c>
      <c r="D1544" s="28" t="s">
        <v>11</v>
      </c>
      <c r="E1544" s="29">
        <v>1</v>
      </c>
      <c r="F1544" s="17"/>
    </row>
    <row r="1545" spans="1:9" ht="25.5" customHeight="1" x14ac:dyDescent="0.2">
      <c r="A1545" s="27">
        <v>1543</v>
      </c>
      <c r="B1545" s="29">
        <v>7088438</v>
      </c>
      <c r="C1545" s="29" t="str">
        <f ca="1">IFERROR(__xludf.DUMMYFUNCTION("GOOGLETRANSLATE(C2353,""en"",""hr"")"),"Cijev")</f>
        <v>Cijev</v>
      </c>
      <c r="D1545" s="28" t="s">
        <v>11</v>
      </c>
      <c r="E1545" s="29">
        <v>1</v>
      </c>
      <c r="F1545" s="17"/>
    </row>
    <row r="1546" spans="1:9" ht="25.5" customHeight="1" x14ac:dyDescent="0.2">
      <c r="A1546" s="27">
        <v>1544</v>
      </c>
      <c r="B1546" s="29">
        <v>7088673</v>
      </c>
      <c r="C1546" s="29" t="str">
        <f ca="1">IFERROR(__xludf.DUMMYFUNCTION("GOOGLETRANSLATE(C2237,""en"",""hr"")"),"Nosač držača četke")</f>
        <v>Nosač držača četke</v>
      </c>
      <c r="D1546" s="28" t="s">
        <v>11</v>
      </c>
      <c r="E1546" s="29">
        <v>1</v>
      </c>
      <c r="F1546" s="17"/>
      <c r="I1546" s="4" t="b">
        <f>INT(F1544*100)=(F1544*100)</f>
        <v>1</v>
      </c>
    </row>
    <row r="1547" spans="1:9" ht="25.5" customHeight="1" x14ac:dyDescent="0.2">
      <c r="A1547" s="27">
        <v>1545</v>
      </c>
      <c r="B1547" s="29">
        <v>7088676</v>
      </c>
      <c r="C1547" s="29" t="str">
        <f ca="1">IFERROR(__xludf.DUMMYFUNCTION("GOOGLETRANSLATE(C2240,""en"",""hr"")"),"Držač")</f>
        <v>Držač</v>
      </c>
      <c r="D1547" s="28" t="s">
        <v>11</v>
      </c>
      <c r="E1547" s="29">
        <v>1</v>
      </c>
      <c r="F1547" s="17"/>
    </row>
    <row r="1548" spans="1:9" ht="25.5" customHeight="1" x14ac:dyDescent="0.2">
      <c r="A1548" s="27">
        <v>1546</v>
      </c>
      <c r="B1548" s="29">
        <v>7088715</v>
      </c>
      <c r="C1548" s="29" t="str">
        <f ca="1">IFERROR(__xludf.DUMMYFUNCTION("GOOGLETRANSLATE(C2291,""en"",""hr"")"),"Hidraulički cilindar")</f>
        <v>Hidraulički cilindar</v>
      </c>
      <c r="D1548" s="28" t="s">
        <v>11</v>
      </c>
      <c r="E1548" s="29">
        <v>1</v>
      </c>
      <c r="F1548" s="17"/>
    </row>
    <row r="1549" spans="1:9" ht="25.5" customHeight="1" x14ac:dyDescent="0.2">
      <c r="A1549" s="27">
        <v>1547</v>
      </c>
      <c r="B1549" s="29">
        <v>7088718</v>
      </c>
      <c r="C1549" s="29" t="str">
        <f ca="1">IFERROR(__xludf.DUMMYFUNCTION("GOOGLETRANSLATE(C3539,""en"",""hr"")"),"brtva")</f>
        <v>brtva</v>
      </c>
      <c r="D1549" s="28" t="s">
        <v>11</v>
      </c>
      <c r="E1549" s="29">
        <v>1</v>
      </c>
      <c r="F1549" s="17"/>
      <c r="I1549" s="4" t="b">
        <f>INT(F1547*100)=(F1547*100)</f>
        <v>1</v>
      </c>
    </row>
    <row r="1550" spans="1:9" ht="25.5" customHeight="1" x14ac:dyDescent="0.2">
      <c r="A1550" s="27">
        <v>1548</v>
      </c>
      <c r="B1550" s="29">
        <v>7088891</v>
      </c>
      <c r="C1550" s="29" t="str">
        <f ca="1">IFERROR(__xludf.DUMMYFUNCTION("GOOGLETRANSLATE(C2296,""en"",""hr"")"),"Nosač za pojačanje, lijevo")</f>
        <v>Nosač za pojačanje, lijevo</v>
      </c>
      <c r="D1550" s="28" t="s">
        <v>11</v>
      </c>
      <c r="E1550" s="29">
        <v>1</v>
      </c>
      <c r="F1550" s="17"/>
    </row>
    <row r="1551" spans="1:9" ht="25.5" customHeight="1" x14ac:dyDescent="0.2">
      <c r="A1551" s="27">
        <v>1549</v>
      </c>
      <c r="B1551" s="29">
        <v>7088892</v>
      </c>
      <c r="C1551" s="29" t="str">
        <f ca="1">IFERROR(__xludf.DUMMYFUNCTION("GOOGLETRANSLATE(C2297,""en"",""hr"")"),"Nosač za pojačanje, desno")</f>
        <v>Nosač za pojačanje, desno</v>
      </c>
      <c r="D1551" s="28" t="s">
        <v>11</v>
      </c>
      <c r="E1551" s="29">
        <v>1</v>
      </c>
      <c r="F1551" s="17"/>
    </row>
    <row r="1552" spans="1:9" ht="25.5" customHeight="1" x14ac:dyDescent="0.2">
      <c r="A1552" s="27">
        <v>1550</v>
      </c>
      <c r="B1552" s="29">
        <v>7088927</v>
      </c>
      <c r="C1552" s="29" t="str">
        <f ca="1">IFERROR(__xludf.DUMMYFUNCTION("GOOGLETRANSLATE(C2469,""en"",""hr"")"),"Štap")</f>
        <v>Štap</v>
      </c>
      <c r="D1552" s="28" t="s">
        <v>11</v>
      </c>
      <c r="E1552" s="29">
        <v>1</v>
      </c>
      <c r="F1552" s="17"/>
    </row>
    <row r="1553" spans="1:9" ht="25.5" customHeight="1" x14ac:dyDescent="0.2">
      <c r="A1553" s="27">
        <v>1551</v>
      </c>
      <c r="B1553" s="29">
        <v>7088958</v>
      </c>
      <c r="C1553" s="29" t="str">
        <f ca="1">IFERROR(__xludf.DUMMYFUNCTION("GOOGLETRANSLATE(C4772,""en"",""hr"")"),"Držač")</f>
        <v>Držač</v>
      </c>
      <c r="D1553" s="28" t="s">
        <v>11</v>
      </c>
      <c r="E1553" s="29">
        <v>1</v>
      </c>
      <c r="F1553" s="17"/>
      <c r="I1553" s="4" t="b">
        <f>INT(F1551*100)=(F1551*100)</f>
        <v>1</v>
      </c>
    </row>
    <row r="1554" spans="1:9" ht="25.5" customHeight="1" x14ac:dyDescent="0.2">
      <c r="A1554" s="27">
        <v>1552</v>
      </c>
      <c r="B1554" s="29">
        <v>7088971</v>
      </c>
      <c r="C1554" s="29" t="str">
        <f ca="1">IFERROR(__xludf.DUMMYFUNCTION("GOOGLETRANSLATE(C3329,""en"",""hr"")"),"Potporni blok")</f>
        <v>Potporni blok</v>
      </c>
      <c r="D1554" s="28" t="s">
        <v>11</v>
      </c>
      <c r="E1554" s="29">
        <v>1</v>
      </c>
      <c r="F1554" s="17"/>
    </row>
    <row r="1555" spans="1:9" ht="25.5" customHeight="1" x14ac:dyDescent="0.2">
      <c r="A1555" s="27">
        <v>1553</v>
      </c>
      <c r="B1555" s="29">
        <v>7088972</v>
      </c>
      <c r="C1555" s="29" t="str">
        <f ca="1">IFERROR(__xludf.DUMMYFUNCTION("GOOGLETRANSLATE(C3330,""en"",""hr"")"),"Čahura")</f>
        <v>Čahura</v>
      </c>
      <c r="D1555" s="28" t="s">
        <v>11</v>
      </c>
      <c r="E1555" s="29">
        <v>1</v>
      </c>
      <c r="F1555" s="17"/>
    </row>
    <row r="1556" spans="1:9" ht="25.5" customHeight="1" x14ac:dyDescent="0.2">
      <c r="A1556" s="27">
        <v>1554</v>
      </c>
      <c r="B1556" s="29">
        <v>7089021</v>
      </c>
      <c r="C1556" s="29" t="str">
        <f ca="1">IFERROR(__xludf.DUMMYFUNCTION("GOOGLETRANSLATE(C3283,""en"",""hr"")"),"Konzola")</f>
        <v>Konzola</v>
      </c>
      <c r="D1556" s="28" t="s">
        <v>11</v>
      </c>
      <c r="E1556" s="29">
        <v>1</v>
      </c>
      <c r="F1556" s="17"/>
    </row>
    <row r="1557" spans="1:9" ht="25.5" customHeight="1" x14ac:dyDescent="0.2">
      <c r="A1557" s="27">
        <v>1555</v>
      </c>
      <c r="B1557" s="29">
        <v>7089039</v>
      </c>
      <c r="C1557" s="29" t="str">
        <f ca="1">IFERROR(__xludf.DUMMYFUNCTION("GOOGLETRANSLATE(C3326,""en"",""hr"")"),"Gumena brtva")</f>
        <v>Gumena brtva</v>
      </c>
      <c r="D1557" s="28" t="s">
        <v>11</v>
      </c>
      <c r="E1557" s="29">
        <v>1</v>
      </c>
      <c r="F1557" s="17"/>
    </row>
    <row r="1558" spans="1:9" ht="25.5" customHeight="1" x14ac:dyDescent="0.2">
      <c r="A1558" s="27">
        <v>1556</v>
      </c>
      <c r="B1558" s="29">
        <v>7089118</v>
      </c>
      <c r="C1558" s="29" t="str">
        <f ca="1">IFERROR(__xludf.DUMMYFUNCTION("GOOGLETRANSLATE(C3327,""en"",""hr"")"),"Stezna traka")</f>
        <v>Stezna traka</v>
      </c>
      <c r="D1558" s="28" t="s">
        <v>11</v>
      </c>
      <c r="E1558" s="29">
        <v>1</v>
      </c>
      <c r="F1558" s="17"/>
    </row>
    <row r="1559" spans="1:9" ht="25.5" customHeight="1" x14ac:dyDescent="0.2">
      <c r="A1559" s="27">
        <v>1557</v>
      </c>
      <c r="B1559" s="29">
        <v>7089126</v>
      </c>
      <c r="C1559" s="29" t="str">
        <f ca="1">IFERROR(__xludf.DUMMYFUNCTION("GOOGLETRANSLATE(C3328,""en"",""hr"")"),"Stezna traka")</f>
        <v>Stezna traka</v>
      </c>
      <c r="D1559" s="28" t="s">
        <v>11</v>
      </c>
      <c r="E1559" s="29">
        <v>1</v>
      </c>
      <c r="F1559" s="17"/>
    </row>
    <row r="1560" spans="1:9" ht="25.5" customHeight="1" x14ac:dyDescent="0.2">
      <c r="A1560" s="27">
        <v>1558</v>
      </c>
      <c r="B1560" s="29">
        <v>7089195</v>
      </c>
      <c r="C1560" s="29" t="str">
        <f ca="1">IFERROR(__xludf.DUMMYFUNCTION("GOOGLETRANSLATE(C6274,""en"",""hr"")"),"Ožičenje (+CH)")</f>
        <v>Ožičenje (+CH)</v>
      </c>
      <c r="D1560" s="28" t="s">
        <v>11</v>
      </c>
      <c r="E1560" s="29">
        <v>1</v>
      </c>
      <c r="F1560" s="17"/>
    </row>
    <row r="1561" spans="1:9" ht="25.5" customHeight="1" x14ac:dyDescent="0.2">
      <c r="A1561" s="27">
        <v>1559</v>
      </c>
      <c r="B1561" s="29">
        <v>7089456</v>
      </c>
      <c r="C1561" s="29" t="str">
        <f ca="1">IFERROR(__xludf.DUMMYFUNCTION("GOOGLETRANSLATE(C2307,""en"",""hr"")"),"Cijev")</f>
        <v>Cijev</v>
      </c>
      <c r="D1561" s="28" t="s">
        <v>11</v>
      </c>
      <c r="E1561" s="29">
        <v>1</v>
      </c>
      <c r="F1561" s="17"/>
    </row>
    <row r="1562" spans="1:9" ht="25.5" customHeight="1" x14ac:dyDescent="0.2">
      <c r="A1562" s="27">
        <v>1560</v>
      </c>
      <c r="B1562" s="29">
        <v>7089458</v>
      </c>
      <c r="C1562" s="29" t="str">
        <f ca="1">IFERROR(__xludf.DUMMYFUNCTION("GOOGLETRANSLATE(C2306,""en"",""hr"")"),"Cijev")</f>
        <v>Cijev</v>
      </c>
      <c r="D1562" s="28" t="s">
        <v>11</v>
      </c>
      <c r="E1562" s="29">
        <v>1</v>
      </c>
      <c r="F1562" s="17"/>
    </row>
    <row r="1563" spans="1:9" ht="25.5" customHeight="1" x14ac:dyDescent="0.2">
      <c r="A1563" s="27">
        <v>1561</v>
      </c>
      <c r="B1563" s="29">
        <v>7089459</v>
      </c>
      <c r="C1563" s="29" t="str">
        <f ca="1">IFERROR(__xludf.DUMMYFUNCTION("GOOGLETRANSLATE(C2308,""en"",""hr"")"),"Cijev")</f>
        <v>Cijev</v>
      </c>
      <c r="D1563" s="28" t="s">
        <v>11</v>
      </c>
      <c r="E1563" s="29">
        <v>1</v>
      </c>
      <c r="F1563" s="17"/>
    </row>
    <row r="1564" spans="1:9" ht="25.5" customHeight="1" x14ac:dyDescent="0.2">
      <c r="A1564" s="27">
        <v>1562</v>
      </c>
      <c r="B1564" s="29">
        <v>7089460</v>
      </c>
      <c r="C1564" s="29" t="str">
        <f ca="1">IFERROR(__xludf.DUMMYFUNCTION("GOOGLETRANSLATE(C2309,""en"",""hr"")"),"Cijev")</f>
        <v>Cijev</v>
      </c>
      <c r="D1564" s="28" t="s">
        <v>11</v>
      </c>
      <c r="E1564" s="29">
        <v>1</v>
      </c>
      <c r="F1564" s="17"/>
    </row>
    <row r="1565" spans="1:9" ht="25.5" customHeight="1" x14ac:dyDescent="0.2">
      <c r="A1565" s="27">
        <v>1563</v>
      </c>
      <c r="B1565" s="29">
        <v>7089528</v>
      </c>
      <c r="C1565" s="29" t="str">
        <f ca="1">IFERROR(__xludf.DUMMYFUNCTION("GOOGLETRANSLATE(C2266,""en"",""hr"")"),"Amortizer")</f>
        <v>Amortizer</v>
      </c>
      <c r="D1565" s="28" t="s">
        <v>11</v>
      </c>
      <c r="E1565" s="29">
        <v>1</v>
      </c>
      <c r="F1565" s="17"/>
    </row>
    <row r="1566" spans="1:9" ht="25.5" customHeight="1" x14ac:dyDescent="0.2">
      <c r="A1566" s="27">
        <v>1564</v>
      </c>
      <c r="B1566" s="29">
        <v>7089733</v>
      </c>
      <c r="C1566" s="29" t="str">
        <f ca="1">IFERROR(__xludf.DUMMYFUNCTION("GOOGLETRANSLATE(C3334,""en"",""hr"")"),"Čahura")</f>
        <v>Čahura</v>
      </c>
      <c r="D1566" s="28" t="s">
        <v>11</v>
      </c>
      <c r="E1566" s="29">
        <v>1</v>
      </c>
      <c r="F1566" s="17"/>
    </row>
    <row r="1567" spans="1:9" ht="25.5" customHeight="1" x14ac:dyDescent="0.2">
      <c r="A1567" s="27">
        <v>1565</v>
      </c>
      <c r="B1567" s="29">
        <v>7089736</v>
      </c>
      <c r="C1567" s="29" t="str">
        <f ca="1">IFERROR(__xludf.DUMMYFUNCTION("GOOGLETRANSLATE(C3335,""en"",""hr"")"),"Držač")</f>
        <v>Držač</v>
      </c>
      <c r="D1567" s="28" t="s">
        <v>11</v>
      </c>
      <c r="E1567" s="29">
        <v>1</v>
      </c>
      <c r="F1567" s="17"/>
    </row>
    <row r="1568" spans="1:9" ht="25.5" customHeight="1" x14ac:dyDescent="0.2">
      <c r="A1568" s="27">
        <v>1566</v>
      </c>
      <c r="B1568" s="29">
        <v>7089743</v>
      </c>
      <c r="C1568" s="29" t="str">
        <f ca="1">IFERROR(__xludf.DUMMYFUNCTION("GOOGLETRANSLATE(C2334,""en"",""hr"")"),"Priključak crijeva")</f>
        <v>Priključak crijeva</v>
      </c>
      <c r="D1568" s="28" t="s">
        <v>11</v>
      </c>
      <c r="E1568" s="29">
        <v>1</v>
      </c>
      <c r="F1568" s="17"/>
    </row>
    <row r="1569" spans="1:9" ht="25.5" customHeight="1" x14ac:dyDescent="0.2">
      <c r="A1569" s="27">
        <v>1567</v>
      </c>
      <c r="B1569" s="29">
        <v>7089781</v>
      </c>
      <c r="C1569" s="29" t="str">
        <f ca="1">IFERROR(__xludf.DUMMYFUNCTION("GOOGLETRANSLATE(C3338,""en"",""hr"")"),"Pregača")</f>
        <v>Pregača</v>
      </c>
      <c r="D1569" s="28" t="s">
        <v>11</v>
      </c>
      <c r="E1569" s="29">
        <v>1</v>
      </c>
      <c r="F1569" s="17"/>
    </row>
    <row r="1570" spans="1:9" ht="25.5" customHeight="1" x14ac:dyDescent="0.2">
      <c r="A1570" s="27">
        <v>1568</v>
      </c>
      <c r="B1570" s="29">
        <v>7089866</v>
      </c>
      <c r="C1570" s="29" t="str">
        <f ca="1">IFERROR(__xludf.DUMMYFUNCTION("GOOGLETRANSLATE(C2305,""en"",""hr"")"),"Cijev")</f>
        <v>Cijev</v>
      </c>
      <c r="D1570" s="28" t="s">
        <v>11</v>
      </c>
      <c r="E1570" s="29">
        <v>1</v>
      </c>
      <c r="F1570" s="17"/>
    </row>
    <row r="1571" spans="1:9" ht="25.5" customHeight="1" x14ac:dyDescent="0.2">
      <c r="A1571" s="27">
        <v>1569</v>
      </c>
      <c r="B1571" s="29">
        <v>7089996</v>
      </c>
      <c r="C1571" s="29" t="str">
        <f ca="1">IFERROR(__xludf.DUMMYFUNCTION("GOOGLETRANSLATE(C2225,""en"",""hr"")"),"Držač čekinja")</f>
        <v>Držač čekinja</v>
      </c>
      <c r="D1571" s="28" t="s">
        <v>11</v>
      </c>
      <c r="E1571" s="29">
        <v>1</v>
      </c>
      <c r="F1571" s="17"/>
    </row>
    <row r="1572" spans="1:9" ht="25.5" customHeight="1" x14ac:dyDescent="0.2">
      <c r="A1572" s="27">
        <v>1570</v>
      </c>
      <c r="B1572" s="29">
        <v>7090103</v>
      </c>
      <c r="C1572" s="29" t="str">
        <f ca="1">IFERROR(__xludf.DUMMYFUNCTION("GOOGLETRANSLATE(C2317,""en"",""hr"")"),"Držač")</f>
        <v>Držač</v>
      </c>
      <c r="D1572" s="28" t="s">
        <v>11</v>
      </c>
      <c r="E1572" s="29">
        <v>1</v>
      </c>
      <c r="F1572" s="17"/>
      <c r="I1572" s="4" t="b">
        <f>INT(F1570*100)=(F1570*100)</f>
        <v>1</v>
      </c>
    </row>
    <row r="1573" spans="1:9" ht="25.5" customHeight="1" x14ac:dyDescent="0.2">
      <c r="A1573" s="27">
        <v>1571</v>
      </c>
      <c r="B1573" s="29">
        <v>7090139</v>
      </c>
      <c r="C1573" s="29" t="str">
        <f ca="1">IFERROR(__xludf.DUMMYFUNCTION("GOOGLETRANSLATE(C2310,""en"",""hr"")"),"Cijev")</f>
        <v>Cijev</v>
      </c>
      <c r="D1573" s="28" t="s">
        <v>11</v>
      </c>
      <c r="E1573" s="29">
        <v>1</v>
      </c>
      <c r="F1573" s="17"/>
    </row>
    <row r="1574" spans="1:9" ht="25.5" customHeight="1" x14ac:dyDescent="0.2">
      <c r="A1574" s="27">
        <v>1572</v>
      </c>
      <c r="B1574" s="29">
        <v>7090298</v>
      </c>
      <c r="C1574" s="29" t="str">
        <f ca="1">IFERROR(__xludf.DUMMYFUNCTION("GOOGLETRANSLATE(C6271,""en"",""hr"")"),"Kabelski svežanj (+CA)")</f>
        <v>Kabelski svežanj (+CA)</v>
      </c>
      <c r="D1574" s="28" t="s">
        <v>11</v>
      </c>
      <c r="E1574" s="29">
        <v>1</v>
      </c>
      <c r="F1574" s="17"/>
    </row>
    <row r="1575" spans="1:9" ht="25.5" customHeight="1" x14ac:dyDescent="0.2">
      <c r="A1575" s="27">
        <v>1573</v>
      </c>
      <c r="B1575" s="29">
        <v>7090850</v>
      </c>
      <c r="C1575" s="29" t="str">
        <f ca="1">IFERROR(__xludf.DUMMYFUNCTION("GOOGLETRANSLATE(C3296,""en"",""hr"")"),"Ruka za njihanje")</f>
        <v>Ruka za njihanje</v>
      </c>
      <c r="D1575" s="28" t="s">
        <v>11</v>
      </c>
      <c r="E1575" s="29">
        <v>1</v>
      </c>
      <c r="F1575" s="17"/>
      <c r="I1575" s="4" t="b">
        <f>INT(F1573*100)=(F1573*100)</f>
        <v>1</v>
      </c>
    </row>
    <row r="1576" spans="1:9" ht="25.5" customHeight="1" x14ac:dyDescent="0.2">
      <c r="A1576" s="27">
        <v>1574</v>
      </c>
      <c r="B1576" s="29">
        <v>7090853</v>
      </c>
      <c r="C1576" s="29" t="str">
        <f ca="1">IFERROR(__xludf.DUMMYFUNCTION("GOOGLETRANSLATE(C3297,""en"",""hr"")"),"Ruka za njihanje")</f>
        <v>Ruka za njihanje</v>
      </c>
      <c r="D1576" s="28" t="s">
        <v>11</v>
      </c>
      <c r="E1576" s="29">
        <v>1</v>
      </c>
      <c r="F1576" s="17"/>
    </row>
    <row r="1577" spans="1:9" ht="25.5" customHeight="1" x14ac:dyDescent="0.2">
      <c r="A1577" s="27">
        <v>1575</v>
      </c>
      <c r="B1577" s="29">
        <v>7091194</v>
      </c>
      <c r="C1577" s="29" t="str">
        <f ca="1">IFERROR(__xludf.DUMMYFUNCTION("GOOGLETRANSLATE(C4280,""en"",""hr"")"),"Deflektor ojačan")</f>
        <v>Deflektor ojačan</v>
      </c>
      <c r="D1577" s="28" t="s">
        <v>11</v>
      </c>
      <c r="E1577" s="29">
        <v>1</v>
      </c>
      <c r="F1577" s="17"/>
    </row>
    <row r="1578" spans="1:9" ht="25.5" customHeight="1" x14ac:dyDescent="0.2">
      <c r="A1578" s="27">
        <v>1576</v>
      </c>
      <c r="B1578" s="29">
        <v>7091350</v>
      </c>
      <c r="C1578" s="29" t="str">
        <f ca="1">IFERROR(__xludf.DUMMYFUNCTION("GOOGLETRANSLATE(C493,""en"",""hr"")"),"Razmaknica")</f>
        <v>Razmaknica</v>
      </c>
      <c r="D1578" s="28" t="s">
        <v>11</v>
      </c>
      <c r="E1578" s="29">
        <v>1</v>
      </c>
      <c r="F1578" s="17"/>
    </row>
    <row r="1579" spans="1:9" ht="25.5" customHeight="1" x14ac:dyDescent="0.2">
      <c r="A1579" s="27">
        <v>1577</v>
      </c>
      <c r="B1579" s="29">
        <v>7091514</v>
      </c>
      <c r="C1579" s="29" t="str">
        <f ca="1">IFERROR(__xludf.DUMMYFUNCTION("GOOGLETRANSLATE(C2100,""en"",""hr"")"),"Čahura")</f>
        <v>Čahura</v>
      </c>
      <c r="D1579" s="28" t="s">
        <v>11</v>
      </c>
      <c r="E1579" s="29">
        <v>1</v>
      </c>
      <c r="F1579" s="17"/>
      <c r="I1579" s="4" t="b">
        <f>INT(F1577*100)=(F1577*100)</f>
        <v>1</v>
      </c>
    </row>
    <row r="1580" spans="1:9" ht="25.5" customHeight="1" x14ac:dyDescent="0.2">
      <c r="A1580" s="27">
        <v>1578</v>
      </c>
      <c r="B1580" s="29">
        <v>7091560</v>
      </c>
      <c r="C1580" s="29" t="str">
        <f ca="1">IFERROR(__xludf.DUMMYFUNCTION("GOOGLETRANSLATE(C496,""en"",""hr"")"),"Čuvar Assy")</f>
        <v>Čuvar Assy</v>
      </c>
      <c r="D1580" s="28" t="s">
        <v>11</v>
      </c>
      <c r="E1580" s="29">
        <v>1</v>
      </c>
      <c r="F1580" s="17"/>
    </row>
    <row r="1581" spans="1:9" ht="25.5" customHeight="1" x14ac:dyDescent="0.2">
      <c r="A1581" s="27">
        <v>1579</v>
      </c>
      <c r="B1581" s="29">
        <v>7091814</v>
      </c>
      <c r="C1581" s="29" t="str">
        <f ca="1">IFERROR(__xludf.DUMMYFUNCTION("GOOGLETRANSLATE(C3095,""en"",""hr"")"),"Usisna pokrivna ploča za usta")</f>
        <v>Usisna pokrivna ploča za usta</v>
      </c>
      <c r="D1581" s="28" t="s">
        <v>11</v>
      </c>
      <c r="E1581" s="29">
        <v>1</v>
      </c>
      <c r="F1581" s="17"/>
    </row>
    <row r="1582" spans="1:9" ht="25.5" customHeight="1" x14ac:dyDescent="0.2">
      <c r="A1582" s="27">
        <v>1580</v>
      </c>
      <c r="B1582" s="29">
        <v>7091825</v>
      </c>
      <c r="C1582" s="29" t="str">
        <f ca="1">IFERROR(__xludf.DUMMYFUNCTION("GOOGLETRANSLATE(C3111,""en"",""hr"")"),"režanj")</f>
        <v>režanj</v>
      </c>
      <c r="D1582" s="28" t="s">
        <v>11</v>
      </c>
      <c r="E1582" s="29">
        <v>1</v>
      </c>
      <c r="F1582" s="17"/>
    </row>
    <row r="1583" spans="1:9" ht="25.5" customHeight="1" x14ac:dyDescent="0.2">
      <c r="A1583" s="27">
        <v>1581</v>
      </c>
      <c r="B1583" s="29">
        <v>7092274</v>
      </c>
      <c r="C1583" s="29" t="str">
        <f ca="1">IFERROR(__xludf.DUMMYFUNCTION("GOOGLETRANSLATE(C498,""en"",""hr"")"),"Opruga za autobuse")</f>
        <v>Opruga za autobuse</v>
      </c>
      <c r="D1583" s="28" t="s">
        <v>11</v>
      </c>
      <c r="E1583" s="29">
        <v>1</v>
      </c>
      <c r="F1583" s="17"/>
    </row>
    <row r="1584" spans="1:9" ht="25.5" customHeight="1" x14ac:dyDescent="0.2">
      <c r="A1584" s="27">
        <v>1582</v>
      </c>
      <c r="B1584" s="29">
        <v>7092345</v>
      </c>
      <c r="C1584" s="29" t="str">
        <f ca="1">IFERROR(__xludf.DUMMYFUNCTION("GOOGLETRANSLATE(C3569,""en"",""hr"")"),"Spojka za crijevo s ograničavačem")</f>
        <v>Spojka za crijevo s ograničavačem</v>
      </c>
      <c r="D1584" s="28" t="s">
        <v>11</v>
      </c>
      <c r="E1584" s="29">
        <v>1</v>
      </c>
      <c r="F1584" s="17"/>
    </row>
    <row r="1585" spans="1:9" ht="25.5" customHeight="1" x14ac:dyDescent="0.2">
      <c r="A1585" s="27">
        <v>1583</v>
      </c>
      <c r="B1585" s="29">
        <v>7092377</v>
      </c>
      <c r="C1585" s="29" t="str">
        <f ca="1">IFERROR(__xludf.DUMMYFUNCTION("GOOGLETRANSLATE(C3092,""en"",""hr"")"),"Usisna usta")</f>
        <v>Usisna usta</v>
      </c>
      <c r="D1585" s="28" t="s">
        <v>11</v>
      </c>
      <c r="E1585" s="29">
        <v>1</v>
      </c>
      <c r="F1585" s="17"/>
    </row>
    <row r="1586" spans="1:9" ht="25.5" customHeight="1" x14ac:dyDescent="0.2">
      <c r="A1586" s="27">
        <v>1584</v>
      </c>
      <c r="B1586" s="29">
        <v>7092757</v>
      </c>
      <c r="C1586" s="29" t="str">
        <f ca="1">IFERROR(__xludf.DUMMYFUNCTION("GOOGLETRANSLATE(C5173,""en"",""hr"")"),"Rešetka")</f>
        <v>Rešetka</v>
      </c>
      <c r="D1586" s="28" t="s">
        <v>11</v>
      </c>
      <c r="E1586" s="29">
        <v>1</v>
      </c>
      <c r="F1586" s="17"/>
    </row>
    <row r="1587" spans="1:9" ht="25.5" customHeight="1" x14ac:dyDescent="0.2">
      <c r="A1587" s="27">
        <v>1585</v>
      </c>
      <c r="B1587" s="29">
        <v>7092761</v>
      </c>
      <c r="C1587" s="29" t="str">
        <f ca="1">IFERROR(__xludf.DUMMYFUNCTION("GOOGLETRANSLATE(C5174,""en"",""hr"")"),"Podloga za filter")</f>
        <v>Podloga za filter</v>
      </c>
      <c r="D1587" s="28" t="s">
        <v>11</v>
      </c>
      <c r="E1587" s="29">
        <v>1</v>
      </c>
      <c r="F1587" s="17"/>
    </row>
    <row r="1588" spans="1:9" ht="25.5" customHeight="1" x14ac:dyDescent="0.2">
      <c r="A1588" s="27">
        <v>1586</v>
      </c>
      <c r="B1588" s="29">
        <v>7092784</v>
      </c>
      <c r="C1588" s="29" t="str">
        <f ca="1">IFERROR(__xludf.DUMMYFUNCTION("GOOGLETRANSLATE(C5164,""en"",""hr"")"),"Neto")</f>
        <v>Neto</v>
      </c>
      <c r="D1588" s="28" t="s">
        <v>11</v>
      </c>
      <c r="E1588" s="29">
        <v>1</v>
      </c>
      <c r="F1588" s="17"/>
    </row>
    <row r="1589" spans="1:9" ht="25.5" customHeight="1" x14ac:dyDescent="0.2">
      <c r="A1589" s="27">
        <v>1587</v>
      </c>
      <c r="B1589" s="29">
        <v>7092808</v>
      </c>
      <c r="C1589" s="29" t="str">
        <f ca="1">IFERROR(__xludf.DUMMYFUNCTION("GOOGLETRANSLATE(C2076,""en"",""hr"")"),"Držač")</f>
        <v>Držač</v>
      </c>
      <c r="D1589" s="28" t="s">
        <v>11</v>
      </c>
      <c r="E1589" s="29">
        <v>1</v>
      </c>
      <c r="F1589" s="17"/>
    </row>
    <row r="1590" spans="1:9" ht="25.5" customHeight="1" x14ac:dyDescent="0.2">
      <c r="A1590" s="27">
        <v>1588</v>
      </c>
      <c r="B1590" s="29">
        <v>7093104</v>
      </c>
      <c r="C1590" s="29" t="str">
        <f ca="1">IFERROR(__xludf.DUMMYFUNCTION("GOOGLETRANSLATE(C3420,""en"",""hr"")"),"Zaštita")</f>
        <v>Zaštita</v>
      </c>
      <c r="D1590" s="28" t="s">
        <v>11</v>
      </c>
      <c r="E1590" s="29">
        <v>1</v>
      </c>
      <c r="F1590" s="17"/>
    </row>
    <row r="1591" spans="1:9" ht="25.5" customHeight="1" x14ac:dyDescent="0.2">
      <c r="A1591" s="27">
        <v>1589</v>
      </c>
      <c r="B1591" s="29">
        <v>7093110</v>
      </c>
      <c r="C1591" s="29" t="str">
        <f ca="1">IFERROR(__xludf.DUMMYFUNCTION("GOOGLETRANSLATE(C2304,""en"",""hr"")"),"Čahura")</f>
        <v>Čahura</v>
      </c>
      <c r="D1591" s="28" t="s">
        <v>11</v>
      </c>
      <c r="E1591" s="29">
        <v>1</v>
      </c>
      <c r="F1591" s="17"/>
    </row>
    <row r="1592" spans="1:9" ht="25.5" customHeight="1" x14ac:dyDescent="0.2">
      <c r="A1592" s="27">
        <v>1590</v>
      </c>
      <c r="B1592" s="29">
        <v>7093242</v>
      </c>
      <c r="C1592" s="29" t="str">
        <f ca="1">IFERROR(__xludf.DUMMYFUNCTION("GOOGLETRANSLATE(C2083,""en"",""hr"")"),"Klipnjača")</f>
        <v>Klipnjača</v>
      </c>
      <c r="D1592" s="28" t="s">
        <v>11</v>
      </c>
      <c r="E1592" s="29">
        <v>1</v>
      </c>
      <c r="F1592" s="17"/>
    </row>
    <row r="1593" spans="1:9" ht="25.5" customHeight="1" x14ac:dyDescent="0.2">
      <c r="A1593" s="27">
        <v>1591</v>
      </c>
      <c r="B1593" s="29">
        <v>7093247</v>
      </c>
      <c r="C1593" s="29" t="str">
        <f ca="1">IFERROR(__xludf.DUMMYFUNCTION("GOOGLETRANSLATE(C2081,""en"",""hr"")"),"Potpora motora LH")</f>
        <v>Potpora motora LH</v>
      </c>
      <c r="D1593" s="28" t="s">
        <v>11</v>
      </c>
      <c r="E1593" s="29">
        <v>1</v>
      </c>
      <c r="F1593" s="17"/>
    </row>
    <row r="1594" spans="1:9" ht="25.5" customHeight="1" x14ac:dyDescent="0.2">
      <c r="A1594" s="27">
        <v>1592</v>
      </c>
      <c r="B1594" s="29">
        <v>7093258</v>
      </c>
      <c r="C1594" s="29" t="str">
        <f ca="1">IFERROR(__xludf.DUMMYFUNCTION("GOOGLETRANSLATE(C2080,""en"",""hr"")"),"Oslonac motora RH")</f>
        <v>Oslonac motora RH</v>
      </c>
      <c r="D1594" s="28" t="s">
        <v>11</v>
      </c>
      <c r="E1594" s="29">
        <v>1</v>
      </c>
      <c r="F1594" s="17"/>
    </row>
    <row r="1595" spans="1:9" ht="25.5" customHeight="1" x14ac:dyDescent="0.2">
      <c r="A1595" s="27">
        <v>1593</v>
      </c>
      <c r="B1595" s="29">
        <v>7093262</v>
      </c>
      <c r="C1595" s="29" t="str">
        <f ca="1">IFERROR(__xludf.DUMMYFUNCTION("GOOGLETRANSLATE(C2095,""en"",""hr"")"),"Upravljačka konzola LH")</f>
        <v>Upravljačka konzola LH</v>
      </c>
      <c r="D1595" s="28" t="s">
        <v>11</v>
      </c>
      <c r="E1595" s="29">
        <v>1</v>
      </c>
      <c r="F1595" s="17"/>
    </row>
    <row r="1596" spans="1:9" ht="25.5" customHeight="1" x14ac:dyDescent="0.2">
      <c r="A1596" s="27">
        <v>1594</v>
      </c>
      <c r="B1596" s="29">
        <v>7093263</v>
      </c>
      <c r="C1596" s="29" t="str">
        <f ca="1">IFERROR(__xludf.DUMMYFUNCTION("GOOGLETRANSLATE(C2096,""en"",""hr"")"),"Upravljačka konzola RH")</f>
        <v>Upravljačka konzola RH</v>
      </c>
      <c r="D1596" s="28" t="s">
        <v>11</v>
      </c>
      <c r="E1596" s="29">
        <v>1</v>
      </c>
      <c r="F1596" s="17"/>
    </row>
    <row r="1597" spans="1:9" ht="25.5" customHeight="1" x14ac:dyDescent="0.2">
      <c r="A1597" s="27">
        <v>1595</v>
      </c>
      <c r="B1597" s="29">
        <v>7093287</v>
      </c>
      <c r="C1597" s="29" t="str">
        <f ca="1">IFERROR(__xludf.DUMMYFUNCTION("GOOGLETRANSLATE(C2079,""en"",""hr"")"),"Šipka za ekspanziju")</f>
        <v>Šipka za ekspanziju</v>
      </c>
      <c r="D1597" s="28" t="s">
        <v>11</v>
      </c>
      <c r="E1597" s="29">
        <v>1</v>
      </c>
      <c r="F1597" s="17"/>
      <c r="I1597" s="4" t="b">
        <f>INT(F1595*100)=(F1595*100)</f>
        <v>1</v>
      </c>
    </row>
    <row r="1598" spans="1:9" ht="25.5" customHeight="1" x14ac:dyDescent="0.2">
      <c r="A1598" s="27">
        <v>1596</v>
      </c>
      <c r="B1598" s="29">
        <v>7093288</v>
      </c>
      <c r="C1598" s="29" t="str">
        <f ca="1">IFERROR(__xludf.DUMMYFUNCTION("GOOGLETRANSLATE(C2078,""en"",""hr"")"),"Šipka za ekspanziju")</f>
        <v>Šipka za ekspanziju</v>
      </c>
      <c r="D1598" s="28" t="s">
        <v>11</v>
      </c>
      <c r="E1598" s="29">
        <v>1</v>
      </c>
      <c r="F1598" s="17"/>
    </row>
    <row r="1599" spans="1:9" ht="25.5" customHeight="1" x14ac:dyDescent="0.2">
      <c r="A1599" s="27">
        <v>1597</v>
      </c>
      <c r="B1599" s="29">
        <v>7094172</v>
      </c>
      <c r="C1599" s="29" t="str">
        <f ca="1">IFERROR(__xludf.DUMMYFUNCTION("GOOGLETRANSLATE(C2092,""en"",""hr"")"),"Podrška LH")</f>
        <v>Podrška LH</v>
      </c>
      <c r="D1599" s="28" t="s">
        <v>11</v>
      </c>
      <c r="E1599" s="29">
        <v>1</v>
      </c>
      <c r="F1599" s="17"/>
    </row>
    <row r="1600" spans="1:9" ht="25.5" customHeight="1" x14ac:dyDescent="0.2">
      <c r="A1600" s="27">
        <v>1598</v>
      </c>
      <c r="B1600" s="29">
        <v>7094173</v>
      </c>
      <c r="C1600" s="29" t="str">
        <f ca="1">IFERROR(__xludf.DUMMYFUNCTION("GOOGLETRANSLATE(C2091,""en"",""hr"")"),"Podrška RH")</f>
        <v>Podrška RH</v>
      </c>
      <c r="D1600" s="28" t="s">
        <v>11</v>
      </c>
      <c r="E1600" s="29">
        <v>1</v>
      </c>
      <c r="F1600" s="17"/>
      <c r="I1600" s="4" t="b">
        <f>INT(F1598*100)=(F1598*100)</f>
        <v>1</v>
      </c>
    </row>
    <row r="1601" spans="1:9" ht="25.5" customHeight="1" x14ac:dyDescent="0.2">
      <c r="A1601" s="27">
        <v>1599</v>
      </c>
      <c r="B1601" s="29">
        <v>7094210</v>
      </c>
      <c r="C1601" s="29" t="str">
        <f ca="1">IFERROR(__xludf.DUMMYFUNCTION("GOOGLETRANSLATE(C3683,""en"",""hr"")"),"podrška")</f>
        <v>podrška</v>
      </c>
      <c r="D1601" s="28" t="s">
        <v>11</v>
      </c>
      <c r="E1601" s="29">
        <v>1</v>
      </c>
      <c r="F1601" s="17"/>
    </row>
    <row r="1602" spans="1:9" ht="25.5" customHeight="1" x14ac:dyDescent="0.2">
      <c r="A1602" s="27">
        <v>1600</v>
      </c>
      <c r="B1602" s="29">
        <v>7094380</v>
      </c>
      <c r="C1602" s="29" t="str">
        <f ca="1">IFERROR(__xludf.DUMMYFUNCTION("GOOGLETRANSLATE(C1899,""en"",""hr"")"),"Bočne četke kpl. lijevo i desno")</f>
        <v>Bočne četke kpl. lijevo i desno</v>
      </c>
      <c r="D1602" s="28" t="s">
        <v>11</v>
      </c>
      <c r="E1602" s="29">
        <v>1</v>
      </c>
      <c r="F1602" s="17"/>
    </row>
    <row r="1603" spans="1:9" ht="25.5" customHeight="1" x14ac:dyDescent="0.2">
      <c r="A1603" s="27">
        <v>1601</v>
      </c>
      <c r="B1603" s="29">
        <v>7094704</v>
      </c>
      <c r="C1603" s="29" t="str">
        <f ca="1">IFERROR(__xludf.DUMMYFUNCTION("GOOGLETRANSLATE(C3624,""en"",""hr"")"),"Stezni nosač")</f>
        <v>Stezni nosač</v>
      </c>
      <c r="D1603" s="28" t="s">
        <v>11</v>
      </c>
      <c r="E1603" s="29">
        <v>1</v>
      </c>
      <c r="F1603" s="17"/>
    </row>
    <row r="1604" spans="1:9" ht="25.5" customHeight="1" x14ac:dyDescent="0.2">
      <c r="A1604" s="27">
        <v>1602</v>
      </c>
      <c r="B1604" s="29">
        <v>7094952</v>
      </c>
      <c r="C1604" s="29" t="str">
        <f ca="1">IFERROR(__xludf.DUMMYFUNCTION("GOOGLETRANSLATE(C2152,""en"",""hr"")"),"Kontrolni blok")</f>
        <v>Kontrolni blok</v>
      </c>
      <c r="D1604" s="28" t="s">
        <v>11</v>
      </c>
      <c r="E1604" s="29">
        <v>1</v>
      </c>
      <c r="F1604" s="17"/>
      <c r="I1604" s="4" t="b">
        <f>INT(F1602*100)=(F1602*100)</f>
        <v>1</v>
      </c>
    </row>
    <row r="1605" spans="1:9" ht="25.5" customHeight="1" x14ac:dyDescent="0.2">
      <c r="A1605" s="27">
        <v>1603</v>
      </c>
      <c r="B1605" s="29">
        <v>7094953</v>
      </c>
      <c r="C1605" s="29" t="str">
        <f ca="1">IFERROR(__xludf.DUMMYFUNCTION("GOOGLETRANSLATE(C2153,""en"",""hr"")"),"Kontrolni blok")</f>
        <v>Kontrolni blok</v>
      </c>
      <c r="D1605" s="28" t="s">
        <v>11</v>
      </c>
      <c r="E1605" s="29">
        <v>1</v>
      </c>
      <c r="F1605" s="17"/>
    </row>
    <row r="1606" spans="1:9" ht="25.5" customHeight="1" x14ac:dyDescent="0.2">
      <c r="A1606" s="27">
        <v>1604</v>
      </c>
      <c r="B1606" s="29">
        <v>7094954</v>
      </c>
      <c r="C1606" s="29" t="str">
        <f ca="1">IFERROR(__xludf.DUMMYFUNCTION("GOOGLETRANSLATE(C2154,""en"",""hr"")"),"Kontrolni blok")</f>
        <v>Kontrolni blok</v>
      </c>
      <c r="D1606" s="28" t="s">
        <v>11</v>
      </c>
      <c r="E1606" s="29">
        <v>1</v>
      </c>
      <c r="F1606" s="17"/>
    </row>
    <row r="1607" spans="1:9" ht="25.5" customHeight="1" x14ac:dyDescent="0.2">
      <c r="A1607" s="27">
        <v>1605</v>
      </c>
      <c r="B1607" s="29">
        <v>7094955</v>
      </c>
      <c r="C1607" s="29" t="str">
        <f ca="1">IFERROR(__xludf.DUMMYFUNCTION("GOOGLETRANSLATE(C2155,""en"",""hr"")"),"Kontrolni blok")</f>
        <v>Kontrolni blok</v>
      </c>
      <c r="D1607" s="28" t="s">
        <v>11</v>
      </c>
      <c r="E1607" s="29">
        <v>1</v>
      </c>
      <c r="F1607" s="17"/>
    </row>
    <row r="1608" spans="1:9" ht="25.5" customHeight="1" x14ac:dyDescent="0.2">
      <c r="A1608" s="27">
        <v>1606</v>
      </c>
      <c r="B1608" s="29">
        <v>7095055</v>
      </c>
      <c r="C1608" s="29" t="str">
        <f ca="1">IFERROR(__xludf.DUMMYFUNCTION("GOOGLETRANSLATE(C2069,""en"",""hr"")"),"Proljeće")</f>
        <v>Proljeće</v>
      </c>
      <c r="D1608" s="28" t="s">
        <v>11</v>
      </c>
      <c r="E1608" s="29">
        <v>1</v>
      </c>
      <c r="F1608" s="17"/>
    </row>
    <row r="1609" spans="1:9" ht="25.5" customHeight="1" x14ac:dyDescent="0.2">
      <c r="A1609" s="27">
        <v>1607</v>
      </c>
      <c r="B1609" s="29">
        <v>7095906</v>
      </c>
      <c r="C1609" s="29" t="str">
        <f ca="1">IFERROR(__xludf.DUMMYFUNCTION("GOOGLETRANSLATE(C2133,""en"",""hr"")"),"Konzola lijevo")</f>
        <v>Konzola lijevo</v>
      </c>
      <c r="D1609" s="28" t="s">
        <v>11</v>
      </c>
      <c r="E1609" s="29">
        <v>1</v>
      </c>
      <c r="F1609" s="17"/>
    </row>
    <row r="1610" spans="1:9" ht="25.5" customHeight="1" x14ac:dyDescent="0.2">
      <c r="A1610" s="27">
        <v>1608</v>
      </c>
      <c r="B1610" s="29">
        <v>7095907</v>
      </c>
      <c r="C1610" s="29" t="str">
        <f ca="1">IFERROR(__xludf.DUMMYFUNCTION("GOOGLETRANSLATE(C2132,""en"",""hr"")"),"Konzola desno")</f>
        <v>Konzola desno</v>
      </c>
      <c r="D1610" s="28" t="s">
        <v>11</v>
      </c>
      <c r="E1610" s="29">
        <v>1</v>
      </c>
      <c r="F1610" s="17"/>
    </row>
    <row r="1611" spans="1:9" ht="25.5" customHeight="1" x14ac:dyDescent="0.2">
      <c r="A1611" s="27">
        <v>1609</v>
      </c>
      <c r="B1611" s="29">
        <v>7096404</v>
      </c>
      <c r="C1611" s="29" t="str">
        <f ca="1">IFERROR(__xludf.DUMMYFUNCTION("GOOGLETRANSLATE(C2195,""en"",""hr"")"),"Blok ventila")</f>
        <v>Blok ventila</v>
      </c>
      <c r="D1611" s="28" t="s">
        <v>11</v>
      </c>
      <c r="E1611" s="29">
        <v>1</v>
      </c>
      <c r="F1611" s="17"/>
    </row>
    <row r="1612" spans="1:9" ht="25.5" customHeight="1" x14ac:dyDescent="0.2">
      <c r="A1612" s="27">
        <v>1610</v>
      </c>
      <c r="B1612" s="29">
        <v>7096879</v>
      </c>
      <c r="C1612" s="29" t="str">
        <f ca="1">IFERROR(__xludf.DUMMYFUNCTION("GOOGLETRANSLATE(C2185,""en"",""hr"")"),"Veza")</f>
        <v>Veza</v>
      </c>
      <c r="D1612" s="28" t="s">
        <v>11</v>
      </c>
      <c r="E1612" s="29">
        <v>1</v>
      </c>
      <c r="F1612" s="17"/>
    </row>
    <row r="1613" spans="1:9" ht="25.5" customHeight="1" x14ac:dyDescent="0.2">
      <c r="A1613" s="27">
        <v>1611</v>
      </c>
      <c r="B1613" s="29">
        <v>7097044</v>
      </c>
      <c r="C1613" s="29" t="str">
        <f ca="1">IFERROR(__xludf.DUMMYFUNCTION("GOOGLETRANSLATE(C566,""en"",""hr"")"),"Crijevo")</f>
        <v>Crijevo</v>
      </c>
      <c r="D1613" s="28" t="s">
        <v>11</v>
      </c>
      <c r="E1613" s="29">
        <v>1</v>
      </c>
      <c r="F1613" s="17"/>
    </row>
    <row r="1614" spans="1:9" ht="25.5" customHeight="1" x14ac:dyDescent="0.2">
      <c r="A1614" s="27">
        <v>1612</v>
      </c>
      <c r="B1614" s="29" t="s">
        <v>1271</v>
      </c>
      <c r="C1614" s="29" t="str">
        <f ca="1">IFERROR(__xludf.DUMMYFUNCTION("GOOGLETRANSLATE(C4004,""en"",""hr"")"),"Kuglični ležaj")</f>
        <v>Kuglični ležaj</v>
      </c>
      <c r="D1614" s="28" t="s">
        <v>11</v>
      </c>
      <c r="E1614" s="29">
        <v>1</v>
      </c>
      <c r="F1614" s="17"/>
    </row>
    <row r="1615" spans="1:9" ht="25.5" customHeight="1" x14ac:dyDescent="0.2">
      <c r="A1615" s="27">
        <v>1613</v>
      </c>
      <c r="B1615" s="29" t="s">
        <v>1179</v>
      </c>
      <c r="C1615" s="29" t="str">
        <f ca="1">IFERROR(__xludf.DUMMYFUNCTION("GOOGLETRANSLATE(C3792,""en"",""hr"")"),"Konusni valjkasti ležaj")</f>
        <v>Konusni valjkasti ležaj</v>
      </c>
      <c r="D1615" s="28" t="s">
        <v>11</v>
      </c>
      <c r="E1615" s="29">
        <v>1</v>
      </c>
      <c r="F1615" s="17"/>
    </row>
    <row r="1616" spans="1:9" ht="25.5" customHeight="1" x14ac:dyDescent="0.2">
      <c r="A1616" s="27">
        <v>1614</v>
      </c>
      <c r="B1616" s="29" t="s">
        <v>1198</v>
      </c>
      <c r="C1616" s="29" t="str">
        <f ca="1">IFERROR(__xludf.DUMMYFUNCTION("GOOGLETRANSLATE(C3813,""en"",""hr"")"),"Konusni valjkasti ležaj")</f>
        <v>Konusni valjkasti ležaj</v>
      </c>
      <c r="D1616" s="28" t="s">
        <v>11</v>
      </c>
      <c r="E1616" s="29">
        <v>1</v>
      </c>
      <c r="F1616" s="17"/>
    </row>
    <row r="1617" spans="1:9" ht="25.5" customHeight="1" x14ac:dyDescent="0.2">
      <c r="A1617" s="27">
        <v>1615</v>
      </c>
      <c r="B1617" s="29" t="s">
        <v>1343</v>
      </c>
      <c r="C1617" s="29" t="str">
        <f ca="1">IFERROR(__xludf.DUMMYFUNCTION("GOOGLETRANSLATE(C4235,""en"",""hr"")"),"Utorna matica")</f>
        <v>Utorna matica</v>
      </c>
      <c r="D1617" s="28" t="s">
        <v>11</v>
      </c>
      <c r="E1617" s="29">
        <v>1</v>
      </c>
      <c r="F1617" s="17"/>
    </row>
    <row r="1618" spans="1:9" ht="25.5" customHeight="1" x14ac:dyDescent="0.2">
      <c r="A1618" s="27">
        <v>1616</v>
      </c>
      <c r="B1618" s="29" t="s">
        <v>286</v>
      </c>
      <c r="C1618" s="29" t="str">
        <f ca="1">IFERROR(__xludf.DUMMYFUNCTION("GOOGLETRANSLATE(C631,""en"",""hr"")"),"Matica osovine")</f>
        <v>Matica osovine</v>
      </c>
      <c r="D1618" s="28" t="s">
        <v>11</v>
      </c>
      <c r="E1618" s="29">
        <v>1</v>
      </c>
      <c r="F1618" s="17"/>
    </row>
    <row r="1619" spans="1:9" ht="25.5" customHeight="1" x14ac:dyDescent="0.2">
      <c r="A1619" s="27">
        <v>1617</v>
      </c>
      <c r="B1619" s="29" t="s">
        <v>346</v>
      </c>
      <c r="C1619" s="29" t="str">
        <f ca="1">IFERROR(__xludf.DUMMYFUNCTION("GOOGLETRANSLATE(C785,""en"",""hr"")"),"Matica osovine")</f>
        <v>Matica osovine</v>
      </c>
      <c r="D1619" s="28" t="s">
        <v>11</v>
      </c>
      <c r="E1619" s="29">
        <v>1</v>
      </c>
      <c r="F1619" s="17"/>
    </row>
    <row r="1620" spans="1:9" ht="25.5" customHeight="1" x14ac:dyDescent="0.2">
      <c r="A1620" s="27">
        <v>1618</v>
      </c>
      <c r="B1620" s="29" t="s">
        <v>347</v>
      </c>
      <c r="C1620" s="29" t="str">
        <f ca="1">IFERROR(__xludf.DUMMYFUNCTION("GOOGLETRANSLATE(C786,""en"",""hr"")"),"Podloška za zaključavanje")</f>
        <v>Podloška za zaključavanje</v>
      </c>
      <c r="D1620" s="28" t="s">
        <v>11</v>
      </c>
      <c r="E1620" s="29">
        <v>1</v>
      </c>
      <c r="F1620" s="17"/>
    </row>
    <row r="1621" spans="1:9" ht="25.5" customHeight="1" x14ac:dyDescent="0.2">
      <c r="A1621" s="27">
        <v>1619</v>
      </c>
      <c r="B1621" s="29" t="s">
        <v>284</v>
      </c>
      <c r="C1621" s="29" t="str">
        <f ca="1">IFERROR(__xludf.DUMMYFUNCTION("GOOGLETRANSLATE(C629,""en"",""hr"")"),"Podloška za zaključavanje")</f>
        <v>Podloška za zaključavanje</v>
      </c>
      <c r="D1621" s="28" t="s">
        <v>11</v>
      </c>
      <c r="E1621" s="29">
        <v>1</v>
      </c>
      <c r="F1621" s="17"/>
    </row>
    <row r="1622" spans="1:9" ht="25.5" customHeight="1" x14ac:dyDescent="0.2">
      <c r="A1622" s="27">
        <v>1620</v>
      </c>
      <c r="B1622" s="29" t="s">
        <v>664</v>
      </c>
      <c r="C1622" s="29" t="str">
        <f ca="1">IFERROR(__xludf.DUMMYFUNCTION("GOOGLETRANSLATE(C2089,""en"",""hr"")"),"Čahura ležaja")</f>
        <v>Čahura ležaja</v>
      </c>
      <c r="D1622" s="28" t="s">
        <v>11</v>
      </c>
      <c r="E1622" s="29">
        <v>1</v>
      </c>
      <c r="F1622" s="17"/>
    </row>
    <row r="1623" spans="1:9" ht="25.5" customHeight="1" x14ac:dyDescent="0.2">
      <c r="A1623" s="27">
        <v>1621</v>
      </c>
      <c r="B1623" s="29" t="s">
        <v>1000</v>
      </c>
      <c r="C1623" s="29" t="str">
        <f ca="1">IFERROR(__xludf.DUMMYFUNCTION("GOOGLETRANSLATE(C3195,""en"",""hr"")"),"valjak")</f>
        <v>valjak</v>
      </c>
      <c r="D1623" s="28" t="s">
        <v>11</v>
      </c>
      <c r="E1623" s="29">
        <v>1</v>
      </c>
      <c r="F1623" s="17"/>
      <c r="I1623" s="4" t="b">
        <f>INT(F1621*100)=(F1621*100)</f>
        <v>1</v>
      </c>
    </row>
    <row r="1624" spans="1:9" ht="25.5" customHeight="1" x14ac:dyDescent="0.2">
      <c r="A1624" s="27">
        <v>1622</v>
      </c>
      <c r="B1624" s="29" t="s">
        <v>840</v>
      </c>
      <c r="C1624" s="29" t="str">
        <f ca="1">IFERROR(__xludf.DUMMYFUNCTION("GOOGLETRANSLATE(C2503,""en"",""hr"")"),"Potporne role")</f>
        <v>Potporne role</v>
      </c>
      <c r="D1624" s="28" t="s">
        <v>11</v>
      </c>
      <c r="E1624" s="29">
        <v>1</v>
      </c>
      <c r="F1624" s="17"/>
    </row>
    <row r="1625" spans="1:9" ht="25.5" customHeight="1" x14ac:dyDescent="0.2">
      <c r="A1625" s="27">
        <v>1623</v>
      </c>
      <c r="B1625" s="29" t="s">
        <v>51</v>
      </c>
      <c r="C1625" s="29" t="str">
        <f ca="1">IFERROR(__xludf.DUMMYFUNCTION("GOOGLETRANSLATE(C82,""en"",""hr"")"),"Ulje mjenjača 4.3L (RGB1) [GEN3/EV3]")</f>
        <v>Ulje mjenjača 4.3L (RGB1) [GEN3/EV3]</v>
      </c>
      <c r="D1625" s="28" t="s">
        <v>11</v>
      </c>
      <c r="E1625" s="29">
        <v>1</v>
      </c>
      <c r="F1625" s="17"/>
    </row>
    <row r="1626" spans="1:9" ht="25.5" customHeight="1" x14ac:dyDescent="0.2">
      <c r="A1626" s="27">
        <v>1624</v>
      </c>
      <c r="B1626" s="29" t="s">
        <v>52</v>
      </c>
      <c r="C1626" s="29" t="str">
        <f ca="1">IFERROR(__xludf.DUMMYFUNCTION("GOOGLETRANSLATE(C83,""en"",""hr"")"),"Ulje za mjenjač 4,3 L (RGB2) [""6543""]")</f>
        <v>Ulje za mjenjač 4,3 L (RGB2) ["6543"]</v>
      </c>
      <c r="D1626" s="28" t="s">
        <v>11</v>
      </c>
      <c r="E1626" s="29">
        <v>1</v>
      </c>
      <c r="F1626" s="17"/>
      <c r="I1626" s="4" t="b">
        <f>INT(F1624*100)=(F1624*100)</f>
        <v>1</v>
      </c>
    </row>
    <row r="1627" spans="1:9" ht="25.5" customHeight="1" x14ac:dyDescent="0.2">
      <c r="A1627" s="27">
        <v>1625</v>
      </c>
      <c r="B1627" s="29" t="s">
        <v>1902</v>
      </c>
      <c r="C1627" s="29" t="str">
        <f ca="1">IFERROR(__xludf.DUMMYFUNCTION("GOOGLETRANSLATE(C6632,""en"",""hr"")"),"Mast")</f>
        <v>Mast</v>
      </c>
      <c r="D1627" s="28" t="s">
        <v>11</v>
      </c>
      <c r="E1627" s="29">
        <v>1</v>
      </c>
      <c r="F1627" s="17"/>
    </row>
    <row r="1628" spans="1:9" ht="25.5" customHeight="1" x14ac:dyDescent="0.2">
      <c r="A1628" s="27">
        <v>1626</v>
      </c>
      <c r="B1628" s="29" t="s">
        <v>2008</v>
      </c>
      <c r="C1628" s="29" t="str">
        <f ca="1">IFERROR(__xludf.DUMMYFUNCTION("GOOGLETRANSLATE(C6807,""en"",""hr"")"),"Naljepnica 25 km/h")</f>
        <v>Naljepnica 25 km/h</v>
      </c>
      <c r="D1628" s="28" t="s">
        <v>11</v>
      </c>
      <c r="E1628" s="29">
        <v>1</v>
      </c>
      <c r="F1628" s="17"/>
    </row>
    <row r="1629" spans="1:9" ht="25.5" customHeight="1" x14ac:dyDescent="0.2">
      <c r="A1629" s="27">
        <v>1627</v>
      </c>
      <c r="B1629" s="29" t="s">
        <v>2010</v>
      </c>
      <c r="C1629" s="29" t="str">
        <f ca="1">IFERROR(__xludf.DUMMYFUNCTION("GOOGLETRANSLATE(C6809,""en"",""hr"")"),"Naljepnica maksimalne brzine 40km/h")</f>
        <v>Naljepnica maksimalne brzine 40km/h</v>
      </c>
      <c r="D1629" s="28" t="s">
        <v>11</v>
      </c>
      <c r="E1629" s="29">
        <v>1</v>
      </c>
      <c r="F1629" s="17"/>
    </row>
    <row r="1630" spans="1:9" ht="25.5" customHeight="1" x14ac:dyDescent="0.2">
      <c r="A1630" s="27">
        <v>1628</v>
      </c>
      <c r="B1630" s="29" t="s">
        <v>2014</v>
      </c>
      <c r="C1630" s="29" t="str">
        <f ca="1">IFERROR(__xludf.DUMMYFUNCTION("GOOGLETRANSLATE(C6813,""en"",""hr"")"),"Naljepnica maksimalne brzine 50km/h")</f>
        <v>Naljepnica maksimalne brzine 50km/h</v>
      </c>
      <c r="D1630" s="28" t="s">
        <v>11</v>
      </c>
      <c r="E1630" s="29">
        <v>1</v>
      </c>
      <c r="F1630" s="17"/>
      <c r="I1630" s="4" t="b">
        <f>INT(F1628*100)=(F1628*100)</f>
        <v>1</v>
      </c>
    </row>
    <row r="1631" spans="1:9" ht="25.5" customHeight="1" x14ac:dyDescent="0.2">
      <c r="A1631" s="27">
        <v>1629</v>
      </c>
      <c r="B1631" s="29" t="s">
        <v>2012</v>
      </c>
      <c r="C1631" s="29" t="str">
        <f ca="1">IFERROR(__xludf.DUMMYFUNCTION("GOOGLETRANSLATE(C6811,""en"",""hr"")"),"Naljepnica maksimalne brzine 45km/h")</f>
        <v>Naljepnica maksimalne brzine 45km/h</v>
      </c>
      <c r="D1631" s="28" t="s">
        <v>11</v>
      </c>
      <c r="E1631" s="29">
        <v>1</v>
      </c>
      <c r="F1631" s="17"/>
    </row>
    <row r="1632" spans="1:9" ht="25.5" customHeight="1" x14ac:dyDescent="0.2">
      <c r="A1632" s="27">
        <v>1630</v>
      </c>
      <c r="B1632" s="29" t="s">
        <v>2011</v>
      </c>
      <c r="C1632" s="29" t="str">
        <f ca="1">IFERROR(__xludf.DUMMYFUNCTION("GOOGLETRANSLATE(C6810,""en"",""hr"")"),"Naljepnica maksimalne brzine 40km/h")</f>
        <v>Naljepnica maksimalne brzine 40km/h</v>
      </c>
      <c r="D1632" s="28" t="s">
        <v>11</v>
      </c>
      <c r="E1632" s="29">
        <v>1</v>
      </c>
      <c r="F1632" s="17"/>
    </row>
    <row r="1633" spans="1:9" ht="25.5" customHeight="1" x14ac:dyDescent="0.2">
      <c r="A1633" s="27">
        <v>1631</v>
      </c>
      <c r="B1633" s="29" t="s">
        <v>2013</v>
      </c>
      <c r="C1633" s="29" t="str">
        <f ca="1">IFERROR(__xludf.DUMMYFUNCTION("GOOGLETRANSLATE(C6812,""en"",""hr"")"),"Naljepnica maksimalne brzine 45km/h")</f>
        <v>Naljepnica maksimalne brzine 45km/h</v>
      </c>
      <c r="D1633" s="28" t="s">
        <v>11</v>
      </c>
      <c r="E1633" s="29">
        <v>1</v>
      </c>
      <c r="F1633" s="17"/>
    </row>
    <row r="1634" spans="1:9" ht="25.5" customHeight="1" x14ac:dyDescent="0.2">
      <c r="A1634" s="27">
        <v>1632</v>
      </c>
      <c r="B1634" s="29" t="s">
        <v>2015</v>
      </c>
      <c r="C1634" s="29" t="str">
        <f ca="1">IFERROR(__xludf.DUMMYFUNCTION("GOOGLETRANSLATE(C6814,""en"",""hr"")"),"Naljepnica maksimalne brzine 50km/h")</f>
        <v>Naljepnica maksimalne brzine 50km/h</v>
      </c>
      <c r="D1634" s="28" t="s">
        <v>11</v>
      </c>
      <c r="E1634" s="29">
        <v>1</v>
      </c>
      <c r="F1634" s="17"/>
    </row>
    <row r="1635" spans="1:9" ht="25.5" customHeight="1" x14ac:dyDescent="0.2">
      <c r="A1635" s="27">
        <v>1633</v>
      </c>
      <c r="B1635" s="29" t="s">
        <v>2009</v>
      </c>
      <c r="C1635" s="29" t="str">
        <f ca="1">IFERROR(__xludf.DUMMYFUNCTION("GOOGLETRANSLATE(C6808,""en"",""hr"")"),"Naljepnica maksimalne brzine 30 km/h")</f>
        <v>Naljepnica maksimalne brzine 30 km/h</v>
      </c>
      <c r="D1635" s="28" t="s">
        <v>11</v>
      </c>
      <c r="E1635" s="29">
        <v>1</v>
      </c>
      <c r="F1635" s="17"/>
    </row>
    <row r="1636" spans="1:9" ht="25.5" customHeight="1" x14ac:dyDescent="0.2">
      <c r="A1636" s="27">
        <v>1634</v>
      </c>
      <c r="B1636" s="29" t="s">
        <v>2004</v>
      </c>
      <c r="C1636" s="29" t="str">
        <f ca="1">IFERROR(__xludf.DUMMYFUNCTION("GOOGLETRANSLATE(C6802,""en"",""hr"")"),"Traka upozorenja lijevo")</f>
        <v>Traka upozorenja lijevo</v>
      </c>
      <c r="D1636" s="28" t="s">
        <v>11</v>
      </c>
      <c r="E1636" s="29">
        <v>1</v>
      </c>
      <c r="F1636" s="17"/>
    </row>
    <row r="1637" spans="1:9" ht="25.5" customHeight="1" x14ac:dyDescent="0.2">
      <c r="A1637" s="27">
        <v>1635</v>
      </c>
      <c r="B1637" s="29" t="s">
        <v>2003</v>
      </c>
      <c r="C1637" s="29" t="str">
        <f ca="1">IFERROR(__xludf.DUMMYFUNCTION("GOOGLETRANSLATE(C6801,""en"",""hr"")"),"Traka upozorenja desno")</f>
        <v>Traka upozorenja desno</v>
      </c>
      <c r="D1637" s="28" t="s">
        <v>11</v>
      </c>
      <c r="E1637" s="29">
        <v>1</v>
      </c>
      <c r="F1637" s="17"/>
    </row>
    <row r="1638" spans="1:9" ht="25.5" customHeight="1" x14ac:dyDescent="0.2">
      <c r="A1638" s="27">
        <v>1636</v>
      </c>
      <c r="B1638" s="29" t="s">
        <v>2007</v>
      </c>
      <c r="C1638" s="29" t="str">
        <f ca="1">IFERROR(__xludf.DUMMYFUNCTION("GOOGLETRANSLATE(C6805,""en"",""hr"")"),"Folija")</f>
        <v>Folija</v>
      </c>
      <c r="D1638" s="28" t="s">
        <v>11</v>
      </c>
      <c r="E1638" s="29">
        <v>1</v>
      </c>
      <c r="F1638" s="17"/>
    </row>
    <row r="1639" spans="1:9" ht="25.5" customHeight="1" x14ac:dyDescent="0.2">
      <c r="A1639" s="27">
        <v>1637</v>
      </c>
      <c r="B1639" s="29" t="s">
        <v>2006</v>
      </c>
      <c r="C1639" s="29" t="str">
        <f ca="1">IFERROR(__xludf.DUMMYFUNCTION("GOOGLETRANSLATE(C6804,""en"",""hr"")"),"Folija")</f>
        <v>Folija</v>
      </c>
      <c r="D1639" s="28" t="s">
        <v>11</v>
      </c>
      <c r="E1639" s="29">
        <v>1</v>
      </c>
      <c r="F1639" s="17"/>
    </row>
    <row r="1640" spans="1:9" ht="25.5" customHeight="1" x14ac:dyDescent="0.2">
      <c r="A1640" s="27">
        <v>1638</v>
      </c>
      <c r="B1640" s="29" t="s">
        <v>1146</v>
      </c>
      <c r="C1640" s="29" t="str">
        <f ca="1">IFERROR(__xludf.DUMMYFUNCTION("GOOGLETRANSLATE(C3709,""en"",""hr"")"),"Pločica za brtvljenje")</f>
        <v>Pločica za brtvljenje</v>
      </c>
      <c r="D1640" s="28" t="s">
        <v>11</v>
      </c>
      <c r="E1640" s="29">
        <v>1</v>
      </c>
      <c r="F1640" s="17"/>
    </row>
    <row r="1641" spans="1:9" ht="25.5" customHeight="1" x14ac:dyDescent="0.2">
      <c r="A1641" s="27">
        <v>1639</v>
      </c>
      <c r="B1641" s="29" t="s">
        <v>1814</v>
      </c>
      <c r="C1641" s="29" t="str">
        <f ca="1">IFERROR(__xludf.DUMMYFUNCTION("GOOGLETRANSLATE(C6347,""en"",""hr"")"),"Plosnati osigurač")</f>
        <v>Plosnati osigurač</v>
      </c>
      <c r="D1641" s="28" t="s">
        <v>11</v>
      </c>
      <c r="E1641" s="29">
        <v>1</v>
      </c>
      <c r="F1641" s="17"/>
    </row>
    <row r="1642" spans="1:9" ht="25.5" customHeight="1" x14ac:dyDescent="0.2">
      <c r="A1642" s="27">
        <v>1640</v>
      </c>
      <c r="B1642" s="29" t="s">
        <v>1815</v>
      </c>
      <c r="C1642" s="29" t="str">
        <f ca="1">IFERROR(__xludf.DUMMYFUNCTION("GOOGLETRANSLATE(C6348,""en"",""hr"")"),"Plosnati osigurač")</f>
        <v>Plosnati osigurač</v>
      </c>
      <c r="D1642" s="28" t="s">
        <v>11</v>
      </c>
      <c r="E1642" s="29">
        <v>1</v>
      </c>
      <c r="F1642" s="17"/>
    </row>
    <row r="1643" spans="1:9" ht="25.5" customHeight="1" x14ac:dyDescent="0.2">
      <c r="A1643" s="27">
        <v>1641</v>
      </c>
      <c r="B1643" s="29" t="s">
        <v>1816</v>
      </c>
      <c r="C1643" s="29" t="str">
        <f ca="1">IFERROR(__xludf.DUMMYFUNCTION("GOOGLETRANSLATE(C6349,""en"",""hr"")"),"Plosnati osigurač")</f>
        <v>Plosnati osigurač</v>
      </c>
      <c r="D1643" s="28" t="s">
        <v>11</v>
      </c>
      <c r="E1643" s="29">
        <v>1</v>
      </c>
      <c r="F1643" s="17"/>
    </row>
    <row r="1644" spans="1:9" ht="25.5" customHeight="1" x14ac:dyDescent="0.2">
      <c r="A1644" s="27">
        <v>1642</v>
      </c>
      <c r="B1644" s="29" t="s">
        <v>1817</v>
      </c>
      <c r="C1644" s="29" t="str">
        <f ca="1">IFERROR(__xludf.DUMMYFUNCTION("GOOGLETRANSLATE(C6350,""en"",""hr"")"),"Plosnati osigurač")</f>
        <v>Plosnati osigurač</v>
      </c>
      <c r="D1644" s="28" t="s">
        <v>11</v>
      </c>
      <c r="E1644" s="29">
        <v>1</v>
      </c>
      <c r="F1644" s="17"/>
    </row>
    <row r="1645" spans="1:9" ht="25.5" customHeight="1" x14ac:dyDescent="0.2">
      <c r="A1645" s="27">
        <v>1643</v>
      </c>
      <c r="B1645" s="29" t="s">
        <v>1818</v>
      </c>
      <c r="C1645" s="29" t="str">
        <f ca="1">IFERROR(__xludf.DUMMYFUNCTION("GOOGLETRANSLATE(C6351,""en"",""hr"")"),"Plosnati osigurač")</f>
        <v>Plosnati osigurač</v>
      </c>
      <c r="D1645" s="28" t="s">
        <v>11</v>
      </c>
      <c r="E1645" s="29">
        <v>1</v>
      </c>
      <c r="F1645" s="17"/>
    </row>
    <row r="1646" spans="1:9" ht="25.5" customHeight="1" x14ac:dyDescent="0.2">
      <c r="A1646" s="27">
        <v>1644</v>
      </c>
      <c r="B1646" s="29" t="s">
        <v>1819</v>
      </c>
      <c r="C1646" s="29" t="str">
        <f ca="1">IFERROR(__xludf.DUMMYFUNCTION("GOOGLETRANSLATE(C6352,""en"",""hr"")"),"Plosnati osigurač")</f>
        <v>Plosnati osigurač</v>
      </c>
      <c r="D1646" s="28" t="s">
        <v>11</v>
      </c>
      <c r="E1646" s="29">
        <v>1</v>
      </c>
      <c r="F1646" s="17"/>
    </row>
    <row r="1647" spans="1:9" ht="25.5" customHeight="1" x14ac:dyDescent="0.2">
      <c r="A1647" s="27">
        <v>1645</v>
      </c>
      <c r="B1647" s="29" t="s">
        <v>19</v>
      </c>
      <c r="C1647" s="29" t="str">
        <f ca="1">IFERROR(__xludf.DUMMYFUNCTION("GOOGLETRANSLATE(C13,""en"",""hr"")"),"LED svjetlosni indikator")</f>
        <v>LED svjetlosni indikator</v>
      </c>
      <c r="D1647" s="28" t="s">
        <v>11</v>
      </c>
      <c r="E1647" s="29">
        <v>1</v>
      </c>
      <c r="F1647" s="17"/>
    </row>
    <row r="1648" spans="1:9" ht="25.5" customHeight="1" x14ac:dyDescent="0.2">
      <c r="A1648" s="27">
        <v>1646</v>
      </c>
      <c r="B1648" s="29" t="s">
        <v>15</v>
      </c>
      <c r="C1648" s="29" t="str">
        <f ca="1">IFERROR(__xludf.DUMMYFUNCTION("GOOGLETRANSLATE(C7,""en"",""hr"")"),"LED radno svjetlo")</f>
        <v>LED radno svjetlo</v>
      </c>
      <c r="D1648" s="28" t="s">
        <v>11</v>
      </c>
      <c r="E1648" s="29">
        <v>1</v>
      </c>
      <c r="F1648" s="17"/>
      <c r="I1648" s="4" t="b">
        <f>INT(F1646*100)=(F1646*100)</f>
        <v>1</v>
      </c>
    </row>
    <row r="1649" spans="1:9" ht="25.5" customHeight="1" x14ac:dyDescent="0.2">
      <c r="A1649" s="27">
        <v>1647</v>
      </c>
      <c r="B1649" s="29" t="s">
        <v>1903</v>
      </c>
      <c r="C1649" s="29" t="str">
        <f ca="1">IFERROR(__xludf.DUMMYFUNCTION("GOOGLETRANSLATE(C6638,""en"",""hr"")"),"Držač")</f>
        <v>Držač</v>
      </c>
      <c r="D1649" s="28" t="s">
        <v>11</v>
      </c>
      <c r="E1649" s="29">
        <v>1</v>
      </c>
      <c r="F1649" s="17"/>
    </row>
    <row r="1650" spans="1:9" ht="25.5" customHeight="1" x14ac:dyDescent="0.2">
      <c r="A1650" s="27">
        <v>1648</v>
      </c>
      <c r="B1650" s="29" t="s">
        <v>13</v>
      </c>
      <c r="C1650" s="29" t="str">
        <f ca="1">IFERROR(__xludf.DUMMYFUNCTION("GOOGLETRANSLATE(C4,""en"",""hr"")"),"Rotirajuće svijetlo")</f>
        <v>Rotirajuće svijetlo</v>
      </c>
      <c r="D1650" s="28" t="s">
        <v>11</v>
      </c>
      <c r="E1650" s="29">
        <v>1</v>
      </c>
      <c r="F1650" s="17"/>
    </row>
    <row r="1651" spans="1:9" ht="25.5" customHeight="1" x14ac:dyDescent="0.2">
      <c r="A1651" s="27">
        <v>1649</v>
      </c>
      <c r="B1651" s="29" t="s">
        <v>1820</v>
      </c>
      <c r="C1651" s="29" t="str">
        <f ca="1">IFERROR(__xludf.DUMMYFUNCTION("GOOGLETRANSLATE(C6353,""en"",""hr"")"),"Plosnati osigurač")</f>
        <v>Plosnati osigurač</v>
      </c>
      <c r="D1651" s="28" t="s">
        <v>11</v>
      </c>
      <c r="E1651" s="29">
        <v>1</v>
      </c>
      <c r="F1651" s="17"/>
      <c r="I1651" s="4" t="b">
        <f>INT(F1649*100)=(F1649*100)</f>
        <v>1</v>
      </c>
    </row>
    <row r="1652" spans="1:9" ht="25.5" customHeight="1" x14ac:dyDescent="0.2">
      <c r="A1652" s="27">
        <v>1650</v>
      </c>
      <c r="B1652" s="29" t="s">
        <v>1804</v>
      </c>
      <c r="C1652" s="29" t="str">
        <f ca="1">IFERROR(__xludf.DUMMYFUNCTION("GOOGLETRANSLATE(C6331,""en"",""hr"")"),"Lažni rukav")</f>
        <v>Lažni rukav</v>
      </c>
      <c r="D1652" s="28" t="s">
        <v>11</v>
      </c>
      <c r="E1652" s="29">
        <v>1</v>
      </c>
      <c r="F1652" s="17"/>
    </row>
    <row r="1653" spans="1:9" ht="25.5" customHeight="1" x14ac:dyDescent="0.2">
      <c r="A1653" s="27">
        <v>1651</v>
      </c>
      <c r="B1653" s="29" t="s">
        <v>1803</v>
      </c>
      <c r="C1653" s="29" t="str">
        <f ca="1">IFERROR(__xludf.DUMMYFUNCTION("GOOGLETRANSLATE(C6330,""en"",""hr"")"),"Grommet")</f>
        <v>Grommet</v>
      </c>
      <c r="D1653" s="28" t="s">
        <v>11</v>
      </c>
      <c r="E1653" s="29">
        <v>1</v>
      </c>
      <c r="F1653" s="17"/>
    </row>
    <row r="1654" spans="1:9" ht="25.5" customHeight="1" x14ac:dyDescent="0.2">
      <c r="A1654" s="27">
        <v>1652</v>
      </c>
      <c r="B1654" s="29" t="s">
        <v>76</v>
      </c>
      <c r="C1654" s="29" t="str">
        <f ca="1">IFERROR(__xludf.DUMMYFUNCTION("GOOGLETRANSLATE(C183,""en"",""hr"")"),"Prekidač, Održavanje")</f>
        <v>Prekidač, Održavanje</v>
      </c>
      <c r="D1654" s="28" t="s">
        <v>11</v>
      </c>
      <c r="E1654" s="29">
        <v>1</v>
      </c>
      <c r="F1654" s="17"/>
    </row>
    <row r="1655" spans="1:9" ht="25.5" customHeight="1" x14ac:dyDescent="0.2">
      <c r="A1655" s="27">
        <v>1653</v>
      </c>
      <c r="B1655" s="29" t="s">
        <v>1806</v>
      </c>
      <c r="C1655" s="29" t="str">
        <f ca="1">IFERROR(__xludf.DUMMYFUNCTION("GOOGLETRANSLATE(C6337,""en"",""hr"")"),"Grommet")</f>
        <v>Grommet</v>
      </c>
      <c r="D1655" s="28" t="s">
        <v>11</v>
      </c>
      <c r="E1655" s="29">
        <v>1</v>
      </c>
      <c r="F1655" s="17"/>
      <c r="I1655" s="4" t="b">
        <f>INT(F1653*100)=(F1653*100)</f>
        <v>1</v>
      </c>
    </row>
    <row r="1656" spans="1:9" ht="25.5" customHeight="1" x14ac:dyDescent="0.2">
      <c r="A1656" s="27">
        <v>1654</v>
      </c>
      <c r="B1656" s="29" t="s">
        <v>1918</v>
      </c>
      <c r="C1656" s="29" t="str">
        <f ca="1">IFERROR(__xludf.DUMMYFUNCTION("GOOGLETRANSLATE(C6681,""en"",""hr"")"),"Punjač akumulatora")</f>
        <v>Punjač akumulatora</v>
      </c>
      <c r="D1656" s="28" t="s">
        <v>11</v>
      </c>
      <c r="E1656" s="29">
        <v>1</v>
      </c>
      <c r="F1656" s="17"/>
    </row>
    <row r="1657" spans="1:9" ht="25.5" customHeight="1" x14ac:dyDescent="0.2">
      <c r="A1657" s="27">
        <v>1655</v>
      </c>
      <c r="B1657" s="29" t="s">
        <v>1550</v>
      </c>
      <c r="C1657" s="29" t="str">
        <f ca="1">IFERROR(__xludf.DUMMYFUNCTION("GOOGLETRANSLATE(C5286,""en"",""hr"")"),"Utičnica 2-polna")</f>
        <v>Utičnica 2-polna</v>
      </c>
      <c r="D1657" s="28" t="s">
        <v>11</v>
      </c>
      <c r="E1657" s="29">
        <v>1</v>
      </c>
      <c r="F1657" s="17"/>
    </row>
    <row r="1658" spans="1:9" ht="25.5" customHeight="1" x14ac:dyDescent="0.2">
      <c r="A1658" s="27">
        <v>1656</v>
      </c>
      <c r="B1658" s="29" t="s">
        <v>1541</v>
      </c>
      <c r="C1658" s="29" t="str">
        <f ca="1">IFERROR(__xludf.DUMMYFUNCTION("GOOGLETRANSLATE(C5238,""en"",""hr"")"),"Čahura kabela")</f>
        <v>Čahura kabela</v>
      </c>
      <c r="D1658" s="28" t="s">
        <v>11</v>
      </c>
      <c r="E1658" s="29">
        <v>1</v>
      </c>
      <c r="F1658" s="17"/>
    </row>
    <row r="1659" spans="1:9" ht="25.5" customHeight="1" x14ac:dyDescent="0.2">
      <c r="A1659" s="27">
        <v>1657</v>
      </c>
      <c r="B1659" s="29" t="s">
        <v>1056</v>
      </c>
      <c r="C1659" s="29" t="str">
        <f ca="1">IFERROR(__xludf.DUMMYFUNCTION("GOOGLETRANSLATE(C3447,""en"",""hr"")"),"Izolacijsko crijevo")</f>
        <v>Izolacijsko crijevo</v>
      </c>
      <c r="D1659" s="28" t="s">
        <v>11</v>
      </c>
      <c r="E1659" s="29">
        <v>1</v>
      </c>
      <c r="F1659" s="17"/>
    </row>
    <row r="1660" spans="1:9" ht="25.5" customHeight="1" x14ac:dyDescent="0.2">
      <c r="A1660" s="27">
        <v>1658</v>
      </c>
      <c r="B1660" s="29" t="s">
        <v>1833</v>
      </c>
      <c r="C1660" s="29" t="str">
        <f ca="1">IFERROR(__xludf.DUMMYFUNCTION("GOOGLETRANSLATE(C6407,""en"",""hr"")"),"Baterija")</f>
        <v>Baterija</v>
      </c>
      <c r="D1660" s="28" t="s">
        <v>11</v>
      </c>
      <c r="E1660" s="29">
        <v>1</v>
      </c>
      <c r="F1660" s="17"/>
    </row>
    <row r="1661" spans="1:9" ht="25.5" customHeight="1" x14ac:dyDescent="0.2">
      <c r="A1661" s="27">
        <v>1659</v>
      </c>
      <c r="B1661" s="29" t="s">
        <v>1811</v>
      </c>
      <c r="C1661" s="29" t="str">
        <f ca="1">IFERROR(__xludf.DUMMYFUNCTION("GOOGLETRANSLATE(C6343,""en"",""hr"")"),"Konektorska ljuska")</f>
        <v>Konektorska ljuska</v>
      </c>
      <c r="D1661" s="28" t="s">
        <v>11</v>
      </c>
      <c r="E1661" s="29">
        <v>1</v>
      </c>
      <c r="F1661" s="17"/>
    </row>
    <row r="1662" spans="1:9" ht="25.5" customHeight="1" x14ac:dyDescent="0.2">
      <c r="A1662" s="27">
        <v>1660</v>
      </c>
      <c r="B1662" s="29" t="s">
        <v>1813</v>
      </c>
      <c r="C1662" s="29" t="str">
        <f ca="1">IFERROR(__xludf.DUMMYFUNCTION("GOOGLETRANSLATE(C6346,""en"",""hr"")"),"Relej")</f>
        <v>Relej</v>
      </c>
      <c r="D1662" s="28" t="s">
        <v>11</v>
      </c>
      <c r="E1662" s="29">
        <v>1</v>
      </c>
      <c r="F1662" s="17"/>
    </row>
    <row r="1663" spans="1:9" ht="25.5" customHeight="1" x14ac:dyDescent="0.2">
      <c r="A1663" s="27">
        <v>1661</v>
      </c>
      <c r="B1663" s="29" t="s">
        <v>1574</v>
      </c>
      <c r="C1663" s="29" t="str">
        <f ca="1">IFERROR(__xludf.DUMMYFUNCTION("GOOGLETRANSLATE(C5336,""en"",""hr"")"),"Radio ekran")</f>
        <v>Radio ekran</v>
      </c>
      <c r="D1663" s="28" t="s">
        <v>11</v>
      </c>
      <c r="E1663" s="29">
        <v>1</v>
      </c>
      <c r="F1663" s="17"/>
    </row>
    <row r="1664" spans="1:9" ht="25.5" customHeight="1" x14ac:dyDescent="0.2">
      <c r="A1664" s="27">
        <v>1662</v>
      </c>
      <c r="B1664" s="29" t="s">
        <v>1573</v>
      </c>
      <c r="C1664" s="29" t="str">
        <f ca="1">IFERROR(__xludf.DUMMYFUNCTION("GOOGLETRANSLATE(C5335,""en"",""hr"")"),"Antena")</f>
        <v>Antena</v>
      </c>
      <c r="D1664" s="28" t="s">
        <v>11</v>
      </c>
      <c r="E1664" s="29">
        <v>1</v>
      </c>
      <c r="F1664" s="17"/>
    </row>
    <row r="1665" spans="1:9" ht="25.5" customHeight="1" x14ac:dyDescent="0.2">
      <c r="A1665" s="27">
        <v>1663</v>
      </c>
      <c r="B1665" s="29" t="s">
        <v>1572</v>
      </c>
      <c r="C1665" s="29" t="str">
        <f ca="1">IFERROR(__xludf.DUMMYFUNCTION("GOOGLETRANSLATE(C5334,""en"",""hr"")"),"Radio &lt;(&gt;&amp;&lt;)&gt; DAB+")</f>
        <v>Radio &lt;(&gt;&amp;&lt;)&gt; DAB+</v>
      </c>
      <c r="D1665" s="28" t="s">
        <v>11</v>
      </c>
      <c r="E1665" s="29">
        <v>1</v>
      </c>
      <c r="F1665" s="17"/>
    </row>
    <row r="1666" spans="1:9" ht="25.5" customHeight="1" x14ac:dyDescent="0.2">
      <c r="A1666" s="27">
        <v>1664</v>
      </c>
      <c r="B1666" s="29" t="s">
        <v>1555</v>
      </c>
      <c r="C1666" s="29" t="str">
        <f ca="1">IFERROR(__xludf.DUMMYFUNCTION("GOOGLETRANSLATE(C5296,""en"",""hr"")"),"Radio")</f>
        <v>Radio</v>
      </c>
      <c r="D1666" s="28" t="s">
        <v>11</v>
      </c>
      <c r="E1666" s="29">
        <v>1</v>
      </c>
      <c r="F1666" s="17"/>
    </row>
    <row r="1667" spans="1:9" ht="25.5" customHeight="1" x14ac:dyDescent="0.2">
      <c r="A1667" s="27">
        <v>1665</v>
      </c>
      <c r="B1667" s="29" t="s">
        <v>1812</v>
      </c>
      <c r="C1667" s="29" t="str">
        <f ca="1">IFERROR(__xludf.DUMMYFUNCTION("GOOGLETRANSLATE(C6344,""en"",""hr"")"),"Konektorska ljuska")</f>
        <v>Konektorska ljuska</v>
      </c>
      <c r="D1667" s="28" t="s">
        <v>11</v>
      </c>
      <c r="E1667" s="29">
        <v>1</v>
      </c>
      <c r="F1667" s="17"/>
    </row>
    <row r="1668" spans="1:9" ht="25.5" customHeight="1" x14ac:dyDescent="0.2">
      <c r="A1668" s="27">
        <v>1666</v>
      </c>
      <c r="B1668" s="29" t="s">
        <v>1456</v>
      </c>
      <c r="C1668" s="29" t="str">
        <f ca="1">IFERROR(__xludf.DUMMYFUNCTION("GOOGLETRANSLATE(C4771,""en"",""hr"")"),"Prekidač s gumbom ručke")</f>
        <v>Prekidač s gumbom ručke</v>
      </c>
      <c r="D1668" s="28" t="s">
        <v>11</v>
      </c>
      <c r="E1668" s="29">
        <v>1</v>
      </c>
      <c r="F1668" s="17"/>
    </row>
    <row r="1669" spans="1:9" ht="25.5" customHeight="1" x14ac:dyDescent="0.2">
      <c r="A1669" s="27">
        <v>1667</v>
      </c>
      <c r="B1669" s="29" t="s">
        <v>1560</v>
      </c>
      <c r="C1669" s="29" t="str">
        <f ca="1">IFERROR(__xludf.DUMMYFUNCTION("GOOGLETRANSLATE(C5322,""en"",""hr"")"),"Prekidač - Slijepi poklopac")</f>
        <v>Prekidač - Slijepi poklopac</v>
      </c>
      <c r="D1669" s="28" t="s">
        <v>11</v>
      </c>
      <c r="E1669" s="29">
        <v>1</v>
      </c>
      <c r="F1669" s="17"/>
    </row>
    <row r="1670" spans="1:9" ht="25.5" customHeight="1" x14ac:dyDescent="0.2">
      <c r="A1670" s="27">
        <v>1668</v>
      </c>
      <c r="B1670" s="29" t="s">
        <v>1845</v>
      </c>
      <c r="C1670" s="29" t="str">
        <f ca="1">IFERROR(__xludf.DUMMYFUNCTION("GOOGLETRANSLATE(C6448,""en"",""hr"")"),"Otpornik")</f>
        <v>Otpornik</v>
      </c>
      <c r="D1670" s="28" t="s">
        <v>11</v>
      </c>
      <c r="E1670" s="29">
        <v>1</v>
      </c>
      <c r="F1670" s="17"/>
    </row>
    <row r="1671" spans="1:9" ht="25.5" customHeight="1" x14ac:dyDescent="0.2">
      <c r="A1671" s="27">
        <v>1669</v>
      </c>
      <c r="B1671" s="29" t="s">
        <v>1844</v>
      </c>
      <c r="C1671" s="29" t="str">
        <f ca="1">IFERROR(__xludf.DUMMYFUNCTION("GOOGLETRANSLATE(C6447,""en"",""hr"")"),"kombinacija otpora")</f>
        <v>kombinacija otpora</v>
      </c>
      <c r="D1671" s="28" t="s">
        <v>11</v>
      </c>
      <c r="E1671" s="29">
        <v>1</v>
      </c>
      <c r="F1671" s="17"/>
    </row>
    <row r="1672" spans="1:9" ht="25.5" customHeight="1" x14ac:dyDescent="0.2">
      <c r="A1672" s="27">
        <v>1670</v>
      </c>
      <c r="B1672" s="29" t="s">
        <v>1857</v>
      </c>
      <c r="C1672" s="29" t="str">
        <f ca="1">IFERROR(__xludf.DUMMYFUNCTION("GOOGLETRANSLATE(C6522,""en"",""hr"")"),"Čahura kabela")</f>
        <v>Čahura kabela</v>
      </c>
      <c r="D1672" s="28" t="s">
        <v>11</v>
      </c>
      <c r="E1672" s="29">
        <v>1</v>
      </c>
      <c r="F1672" s="17"/>
    </row>
    <row r="1673" spans="1:9" ht="25.5" customHeight="1" x14ac:dyDescent="0.2">
      <c r="A1673" s="27">
        <v>1671</v>
      </c>
      <c r="B1673" s="29" t="s">
        <v>16</v>
      </c>
      <c r="C1673" s="29" t="str">
        <f ca="1">IFERROR(__xludf.DUMMYFUNCTION("GOOGLETRANSLATE(C8,""en"",""hr"")"),"LED reflektor")</f>
        <v>LED reflektor</v>
      </c>
      <c r="D1673" s="28" t="s">
        <v>11</v>
      </c>
      <c r="E1673" s="29">
        <v>1</v>
      </c>
      <c r="F1673" s="17"/>
    </row>
    <row r="1674" spans="1:9" ht="25.5" customHeight="1" x14ac:dyDescent="0.2">
      <c r="A1674" s="27">
        <v>1672</v>
      </c>
      <c r="B1674" s="29" t="s">
        <v>17</v>
      </c>
      <c r="C1674" s="29" t="str">
        <f ca="1">IFERROR(__xludf.DUMMYFUNCTION("GOOGLETRANSLATE(C10,""en"",""hr"")"),"LED kratka svjetla (promet desnom stranom)")</f>
        <v>LED kratka svjetla (promet desnom stranom)</v>
      </c>
      <c r="D1674" s="28" t="s">
        <v>11</v>
      </c>
      <c r="E1674" s="29">
        <v>1</v>
      </c>
      <c r="F1674" s="17"/>
      <c r="I1674" s="4" t="b">
        <f>INT(F1672*100)=(F1672*100)</f>
        <v>1</v>
      </c>
    </row>
    <row r="1675" spans="1:9" ht="25.5" customHeight="1" x14ac:dyDescent="0.2">
      <c r="A1675" s="27">
        <v>1673</v>
      </c>
      <c r="B1675" s="29" t="s">
        <v>18</v>
      </c>
      <c r="C1675" s="29" t="str">
        <f ca="1">IFERROR(__xludf.DUMMYFUNCTION("GOOGLETRANSLATE(C11,""en"",""hr"")"),"LED kratka svjetla (promet lijevom stranom)")</f>
        <v>LED kratka svjetla (promet lijevom stranom)</v>
      </c>
      <c r="D1675" s="28" t="s">
        <v>11</v>
      </c>
      <c r="E1675" s="29">
        <v>1</v>
      </c>
      <c r="F1675" s="17"/>
    </row>
    <row r="1676" spans="1:9" ht="25.5" customHeight="1" x14ac:dyDescent="0.2">
      <c r="A1676" s="27">
        <v>1674</v>
      </c>
      <c r="B1676" s="29" t="s">
        <v>1563</v>
      </c>
      <c r="C1676" s="29" t="str">
        <f ca="1">IFERROR(__xludf.DUMMYFUNCTION("GOOGLETRANSLATE(C5325,""en"",""hr"")"),"Prekidač")</f>
        <v>Prekidač</v>
      </c>
      <c r="D1676" s="28" t="s">
        <v>11</v>
      </c>
      <c r="E1676" s="29">
        <v>1</v>
      </c>
      <c r="F1676" s="17"/>
    </row>
    <row r="1677" spans="1:9" ht="25.5" customHeight="1" x14ac:dyDescent="0.2">
      <c r="A1677" s="27">
        <v>1675</v>
      </c>
      <c r="B1677" s="29" t="s">
        <v>1569</v>
      </c>
      <c r="C1677" s="29" t="str">
        <f ca="1">IFERROR(__xludf.DUMMYFUNCTION("GOOGLETRANSLATE(C5331,""en"",""hr"")"),"Glavni prekidač baterije")</f>
        <v>Glavni prekidač baterije</v>
      </c>
      <c r="D1677" s="28" t="s">
        <v>11</v>
      </c>
      <c r="E1677" s="29">
        <v>1</v>
      </c>
      <c r="F1677" s="17"/>
      <c r="I1677" s="4" t="b">
        <f>INT(F1675*100)=(F1675*100)</f>
        <v>1</v>
      </c>
    </row>
    <row r="1678" spans="1:9" ht="25.5" customHeight="1" x14ac:dyDescent="0.2">
      <c r="A1678" s="27">
        <v>1676</v>
      </c>
      <c r="B1678" s="29" t="s">
        <v>1567</v>
      </c>
      <c r="C1678" s="29" t="str">
        <f ca="1">IFERROR(__xludf.DUMMYFUNCTION("GOOGLETRANSLATE(C5329,""en"",""hr"")"),"Prekidač")</f>
        <v>Prekidač</v>
      </c>
      <c r="D1678" s="28" t="s">
        <v>11</v>
      </c>
      <c r="E1678" s="29">
        <v>1</v>
      </c>
      <c r="F1678" s="17"/>
    </row>
    <row r="1679" spans="1:9" ht="25.5" customHeight="1" x14ac:dyDescent="0.2">
      <c r="A1679" s="27">
        <v>1677</v>
      </c>
      <c r="B1679" s="29" t="s">
        <v>1564</v>
      </c>
      <c r="C1679" s="29" t="str">
        <f ca="1">IFERROR(__xludf.DUMMYFUNCTION("GOOGLETRANSLATE(C5326,""en"",""hr"")"),"Prekidač")</f>
        <v>Prekidač</v>
      </c>
      <c r="D1679" s="28" t="s">
        <v>11</v>
      </c>
      <c r="E1679" s="29">
        <v>1</v>
      </c>
      <c r="F1679" s="17"/>
    </row>
    <row r="1680" spans="1:9" ht="25.5" customHeight="1" x14ac:dyDescent="0.2">
      <c r="A1680" s="27">
        <v>1678</v>
      </c>
      <c r="B1680" s="29" t="s">
        <v>1570</v>
      </c>
      <c r="C1680" s="29" t="str">
        <f ca="1">IFERROR(__xludf.DUMMYFUNCTION("GOOGLETRANSLATE(C5332,""en"",""hr"")"),"Prekidač")</f>
        <v>Prekidač</v>
      </c>
      <c r="D1680" s="28" t="s">
        <v>11</v>
      </c>
      <c r="E1680" s="29">
        <v>1</v>
      </c>
      <c r="F1680" s="17"/>
    </row>
    <row r="1681" spans="1:9" ht="25.5" customHeight="1" x14ac:dyDescent="0.2">
      <c r="A1681" s="27">
        <v>1679</v>
      </c>
      <c r="B1681" s="29" t="s">
        <v>1571</v>
      </c>
      <c r="C1681" s="29" t="str">
        <f ca="1">IFERROR(__xludf.DUMMYFUNCTION("GOOGLETRANSLATE(C5333,""en"",""hr"")"),"Prekidač")</f>
        <v>Prekidač</v>
      </c>
      <c r="D1681" s="28" t="s">
        <v>11</v>
      </c>
      <c r="E1681" s="29">
        <v>1</v>
      </c>
      <c r="F1681" s="17"/>
      <c r="I1681" s="4" t="b">
        <f>INT(F1679*100)=(F1679*100)</f>
        <v>1</v>
      </c>
    </row>
    <row r="1682" spans="1:9" ht="25.5" customHeight="1" x14ac:dyDescent="0.2">
      <c r="A1682" s="27">
        <v>1680</v>
      </c>
      <c r="B1682" s="29" t="s">
        <v>1566</v>
      </c>
      <c r="C1682" s="29" t="str">
        <f ca="1">IFERROR(__xludf.DUMMYFUNCTION("GOOGLETRANSLATE(C5328,""en"",""hr"")"),"Prekidač")</f>
        <v>Prekidač</v>
      </c>
      <c r="D1682" s="28" t="s">
        <v>11</v>
      </c>
      <c r="E1682" s="29">
        <v>1</v>
      </c>
      <c r="F1682" s="17"/>
    </row>
    <row r="1683" spans="1:9" ht="25.5" customHeight="1" x14ac:dyDescent="0.2">
      <c r="A1683" s="27">
        <v>1681</v>
      </c>
      <c r="B1683" s="29" t="s">
        <v>1568</v>
      </c>
      <c r="C1683" s="29" t="str">
        <f ca="1">IFERROR(__xludf.DUMMYFUNCTION("GOOGLETRANSLATE(C5330,""en"",""hr"")"),"Prekidač")</f>
        <v>Prekidač</v>
      </c>
      <c r="D1683" s="28" t="s">
        <v>11</v>
      </c>
      <c r="E1683" s="29">
        <v>1</v>
      </c>
      <c r="F1683" s="17"/>
    </row>
    <row r="1684" spans="1:9" ht="25.5" customHeight="1" x14ac:dyDescent="0.2">
      <c r="A1684" s="27">
        <v>1682</v>
      </c>
      <c r="B1684" s="29" t="s">
        <v>1562</v>
      </c>
      <c r="C1684" s="29" t="str">
        <f ca="1">IFERROR(__xludf.DUMMYFUNCTION("GOOGLETRANSLATE(C5324,""en"",""hr"")"),"Prekidač")</f>
        <v>Prekidač</v>
      </c>
      <c r="D1684" s="28" t="s">
        <v>11</v>
      </c>
      <c r="E1684" s="29">
        <v>1</v>
      </c>
      <c r="F1684" s="17"/>
    </row>
    <row r="1685" spans="1:9" ht="25.5" customHeight="1" x14ac:dyDescent="0.2">
      <c r="A1685" s="27">
        <v>1683</v>
      </c>
      <c r="B1685" s="29" t="s">
        <v>1561</v>
      </c>
      <c r="C1685" s="29" t="str">
        <f ca="1">IFERROR(__xludf.DUMMYFUNCTION("GOOGLETRANSLATE(C5323,""en"",""hr"")"),"Prekidač")</f>
        <v>Prekidač</v>
      </c>
      <c r="D1685" s="28" t="s">
        <v>11</v>
      </c>
      <c r="E1685" s="29">
        <v>1</v>
      </c>
      <c r="F1685" s="17"/>
    </row>
    <row r="1686" spans="1:9" ht="25.5" customHeight="1" x14ac:dyDescent="0.2">
      <c r="A1686" s="27">
        <v>1684</v>
      </c>
      <c r="B1686" s="29" t="s">
        <v>1565</v>
      </c>
      <c r="C1686" s="29" t="str">
        <f ca="1">IFERROR(__xludf.DUMMYFUNCTION("GOOGLETRANSLATE(C5327,""en"",""hr"")"),"Prekidač")</f>
        <v>Prekidač</v>
      </c>
      <c r="D1686" s="28" t="s">
        <v>11</v>
      </c>
      <c r="E1686" s="29">
        <v>1</v>
      </c>
      <c r="F1686" s="17"/>
    </row>
    <row r="1687" spans="1:9" ht="25.5" customHeight="1" x14ac:dyDescent="0.2">
      <c r="A1687" s="27">
        <v>1685</v>
      </c>
      <c r="B1687" s="29" t="s">
        <v>1850</v>
      </c>
      <c r="C1687" s="29" t="str">
        <f ca="1">IFERROR(__xludf.DUMMYFUNCTION("GOOGLETRANSLATE(C6471,""en"",""hr"")"),"Priključni blok")</f>
        <v>Priključni blok</v>
      </c>
      <c r="D1687" s="28" t="s">
        <v>11</v>
      </c>
      <c r="E1687" s="29">
        <v>1</v>
      </c>
      <c r="F1687" s="17"/>
    </row>
    <row r="1688" spans="1:9" ht="25.5" customHeight="1" x14ac:dyDescent="0.2">
      <c r="A1688" s="27">
        <v>1686</v>
      </c>
      <c r="B1688" s="29" t="s">
        <v>1490</v>
      </c>
      <c r="C1688" s="29" t="str">
        <f ca="1">IFERROR(__xludf.DUMMYFUNCTION("GOOGLETRANSLATE(C4988,""en"",""hr"")"),"slijepi čep")</f>
        <v>slijepi čep</v>
      </c>
      <c r="D1688" s="28" t="s">
        <v>11</v>
      </c>
      <c r="E1688" s="29">
        <v>1</v>
      </c>
      <c r="F1688" s="17"/>
    </row>
    <row r="1689" spans="1:9" ht="25.5" customHeight="1" x14ac:dyDescent="0.2">
      <c r="A1689" s="27">
        <v>1687</v>
      </c>
      <c r="B1689" s="29" t="s">
        <v>1516</v>
      </c>
      <c r="C1689" s="29" t="str">
        <f ca="1">IFERROR(__xludf.DUMMYFUNCTION("GOOGLETRANSLATE(C5140,""en"",""hr"")"),"LED kratka svjetla")</f>
        <v>LED kratka svjetla</v>
      </c>
      <c r="D1689" s="28" t="s">
        <v>11</v>
      </c>
      <c r="E1689" s="29">
        <v>1</v>
      </c>
      <c r="F1689" s="17"/>
    </row>
    <row r="1690" spans="1:9" ht="25.5" customHeight="1" x14ac:dyDescent="0.2">
      <c r="A1690" s="27">
        <v>1688</v>
      </c>
      <c r="B1690" s="29" t="s">
        <v>1515</v>
      </c>
      <c r="C1690" s="29" t="str">
        <f ca="1">IFERROR(__xludf.DUMMYFUNCTION("GOOGLETRANSLATE(C5139,""en"",""hr"")"),"Držač")</f>
        <v>Držač</v>
      </c>
      <c r="D1690" s="28" t="s">
        <v>11</v>
      </c>
      <c r="E1690" s="29">
        <v>1</v>
      </c>
      <c r="F1690" s="17"/>
    </row>
    <row r="1691" spans="1:9" ht="25.5" customHeight="1" x14ac:dyDescent="0.2">
      <c r="A1691" s="27">
        <v>1689</v>
      </c>
      <c r="B1691" s="29" t="s">
        <v>1588</v>
      </c>
      <c r="C1691" s="29" t="str">
        <f ca="1">IFERROR(__xludf.DUMMYFUNCTION("GOOGLETRANSLATE(C5376,""en"",""hr"")"),"Brava za paljenje")</f>
        <v>Brava za paljenje</v>
      </c>
      <c r="D1691" s="28" t="s">
        <v>11</v>
      </c>
      <c r="E1691" s="29">
        <v>1</v>
      </c>
      <c r="F1691" s="17"/>
    </row>
    <row r="1692" spans="1:9" ht="25.5" customHeight="1" x14ac:dyDescent="0.2">
      <c r="A1692" s="27">
        <v>1690</v>
      </c>
      <c r="B1692" s="29" t="s">
        <v>1831</v>
      </c>
      <c r="C1692" s="29" t="str">
        <f ca="1">IFERROR(__xludf.DUMMYFUNCTION("GOOGLETRANSLATE(C6398,""en"",""hr"")"),"Čahura kabela")</f>
        <v>Čahura kabela</v>
      </c>
      <c r="D1692" s="28" t="s">
        <v>11</v>
      </c>
      <c r="E1692" s="29">
        <v>1</v>
      </c>
      <c r="F1692" s="17"/>
    </row>
    <row r="1693" spans="1:9" ht="25.5" customHeight="1" x14ac:dyDescent="0.2">
      <c r="A1693" s="27">
        <v>1691</v>
      </c>
      <c r="B1693" s="29" t="s">
        <v>1859</v>
      </c>
      <c r="C1693" s="29" t="str">
        <f ca="1">IFERROR(__xludf.DUMMYFUNCTION("GOOGLETRANSLATE(C6524,""en"",""hr"")"),"kabelski ulaz")</f>
        <v>kabelski ulaz</v>
      </c>
      <c r="D1693" s="28" t="s">
        <v>11</v>
      </c>
      <c r="E1693" s="29">
        <v>1</v>
      </c>
      <c r="F1693" s="17"/>
    </row>
    <row r="1694" spans="1:9" ht="25.5" customHeight="1" x14ac:dyDescent="0.2">
      <c r="A1694" s="27">
        <v>1692</v>
      </c>
      <c r="B1694" s="29" t="s">
        <v>1858</v>
      </c>
      <c r="C1694" s="29" t="str">
        <f ca="1">IFERROR(__xludf.DUMMYFUNCTION("GOOGLETRANSLATE(C6523,""en"",""hr"")"),"Čahura kabela")</f>
        <v>Čahura kabela</v>
      </c>
      <c r="D1694" s="28" t="s">
        <v>11</v>
      </c>
      <c r="E1694" s="29">
        <v>1</v>
      </c>
      <c r="F1694" s="17"/>
    </row>
    <row r="1695" spans="1:9" ht="25.5" customHeight="1" x14ac:dyDescent="0.2">
      <c r="A1695" s="27">
        <v>1693</v>
      </c>
      <c r="B1695" s="29" t="s">
        <v>1855</v>
      </c>
      <c r="C1695" s="29" t="str">
        <f ca="1">IFERROR(__xludf.DUMMYFUNCTION("GOOGLETRANSLATE(C6520,""en"",""hr"")"),"Čahura kabela")</f>
        <v>Čahura kabela</v>
      </c>
      <c r="D1695" s="28" t="s">
        <v>11</v>
      </c>
      <c r="E1695" s="29">
        <v>1</v>
      </c>
      <c r="F1695" s="17"/>
    </row>
    <row r="1696" spans="1:9" ht="25.5" customHeight="1" x14ac:dyDescent="0.2">
      <c r="A1696" s="27">
        <v>1694</v>
      </c>
      <c r="B1696" s="29" t="s">
        <v>1854</v>
      </c>
      <c r="C1696" s="29" t="str">
        <f ca="1">IFERROR(__xludf.DUMMYFUNCTION("GOOGLETRANSLATE(C6519,""en"",""hr"")"),"Čahura kabela")</f>
        <v>Čahura kabela</v>
      </c>
      <c r="D1696" s="28" t="s">
        <v>11</v>
      </c>
      <c r="E1696" s="29">
        <v>1</v>
      </c>
      <c r="F1696" s="17"/>
    </row>
    <row r="1697" spans="1:9" ht="25.5" customHeight="1" x14ac:dyDescent="0.2">
      <c r="A1697" s="27">
        <v>1695</v>
      </c>
      <c r="B1697" s="29" t="s">
        <v>1856</v>
      </c>
      <c r="C1697" s="29" t="str">
        <f ca="1">IFERROR(__xludf.DUMMYFUNCTION("GOOGLETRANSLATE(C6521,""en"",""hr"")"),"Čahura kabela")</f>
        <v>Čahura kabela</v>
      </c>
      <c r="D1697" s="28" t="s">
        <v>11</v>
      </c>
      <c r="E1697" s="29">
        <v>1</v>
      </c>
      <c r="F1697" s="17"/>
    </row>
    <row r="1698" spans="1:9" ht="25.5" customHeight="1" x14ac:dyDescent="0.2">
      <c r="A1698" s="27">
        <v>1696</v>
      </c>
      <c r="B1698" s="29" t="s">
        <v>1551</v>
      </c>
      <c r="C1698" s="29" t="str">
        <f ca="1">IFERROR(__xludf.DUMMYFUNCTION("GOOGLETRANSLATE(C5287,""en"",""hr"")"),"Prekidač za hitne slučajeve")</f>
        <v>Prekidač za hitne slučajeve</v>
      </c>
      <c r="D1698" s="28" t="s">
        <v>11</v>
      </c>
      <c r="E1698" s="29">
        <v>1</v>
      </c>
      <c r="F1698" s="17"/>
    </row>
    <row r="1699" spans="1:9" ht="25.5" customHeight="1" x14ac:dyDescent="0.2">
      <c r="A1699" s="27">
        <v>1697</v>
      </c>
      <c r="B1699" s="29" t="s">
        <v>1842</v>
      </c>
      <c r="C1699" s="29" t="str">
        <f ca="1">IFERROR(__xludf.DUMMYFUNCTION("GOOGLETRANSLATE(C6443,""en"",""hr"")"),"Relej 50A")</f>
        <v>Relej 50A</v>
      </c>
      <c r="D1699" s="28" t="s">
        <v>11</v>
      </c>
      <c r="E1699" s="29">
        <v>1</v>
      </c>
      <c r="F1699" s="17"/>
      <c r="I1699" s="4" t="b">
        <f>INT(F1697*100)=(F1697*100)</f>
        <v>1</v>
      </c>
    </row>
    <row r="1700" spans="1:9" ht="25.5" customHeight="1" x14ac:dyDescent="0.2">
      <c r="A1700" s="27">
        <v>1698</v>
      </c>
      <c r="B1700" s="29" t="s">
        <v>1821</v>
      </c>
      <c r="C1700" s="29" t="str">
        <f ca="1">IFERROR(__xludf.DUMMYFUNCTION("GOOGLETRANSLATE(C6354,""en"",""hr"")"),"Relej")</f>
        <v>Relej</v>
      </c>
      <c r="D1700" s="28" t="s">
        <v>11</v>
      </c>
      <c r="E1700" s="29">
        <v>1</v>
      </c>
      <c r="F1700" s="17"/>
    </row>
    <row r="1701" spans="1:9" ht="25.5" customHeight="1" x14ac:dyDescent="0.2">
      <c r="A1701" s="27">
        <v>1699</v>
      </c>
      <c r="B1701" s="29" t="s">
        <v>1843</v>
      </c>
      <c r="C1701" s="29" t="str">
        <f ca="1">IFERROR(__xludf.DUMMYFUNCTION("GOOGLETRANSLATE(C6444,""en"",""hr"")"),"Relej visokih performansi")</f>
        <v>Relej visokih performansi</v>
      </c>
      <c r="D1701" s="28" t="s">
        <v>11</v>
      </c>
      <c r="E1701" s="29">
        <v>1</v>
      </c>
      <c r="F1701" s="17"/>
    </row>
    <row r="1702" spans="1:9" ht="25.5" customHeight="1" x14ac:dyDescent="0.2">
      <c r="A1702" s="27">
        <v>1700</v>
      </c>
      <c r="B1702" s="29" t="s">
        <v>1822</v>
      </c>
      <c r="C1702" s="29" t="str">
        <f ca="1">IFERROR(__xludf.DUMMYFUNCTION("GOOGLETRANSLATE(C6355,""en"",""hr"")"),"Mikro relej")</f>
        <v>Mikro relej</v>
      </c>
      <c r="D1702" s="28" t="s">
        <v>11</v>
      </c>
      <c r="E1702" s="29">
        <v>1</v>
      </c>
      <c r="F1702" s="17"/>
      <c r="I1702" s="4" t="b">
        <f>INT(F1700*100)=(F1700*100)</f>
        <v>1</v>
      </c>
    </row>
    <row r="1703" spans="1:9" ht="25.5" customHeight="1" x14ac:dyDescent="0.2">
      <c r="A1703" s="27">
        <v>1701</v>
      </c>
      <c r="B1703" s="29" t="s">
        <v>271</v>
      </c>
      <c r="C1703" s="29" t="str">
        <f ca="1">IFERROR(__xludf.DUMMYFUNCTION("GOOGLETRANSLATE(C600,""en"",""hr"")"),"Spojnica za kabel")</f>
        <v>Spojnica za kabel</v>
      </c>
      <c r="D1703" s="28" t="s">
        <v>11</v>
      </c>
      <c r="E1703" s="29">
        <v>1</v>
      </c>
      <c r="F1703" s="17"/>
    </row>
    <row r="1704" spans="1:9" ht="25.5" customHeight="1" x14ac:dyDescent="0.2">
      <c r="A1704" s="27">
        <v>1702</v>
      </c>
      <c r="B1704" s="29" t="s">
        <v>765</v>
      </c>
      <c r="C1704" s="29" t="str">
        <f ca="1">IFERROR(__xludf.DUMMYFUNCTION("GOOGLETRANSLATE(C2382,""en"",""hr"")"),"Stezaljka")</f>
        <v>Stezaljka</v>
      </c>
      <c r="D1704" s="28" t="s">
        <v>11</v>
      </c>
      <c r="E1704" s="29">
        <v>1</v>
      </c>
      <c r="F1704" s="17"/>
    </row>
    <row r="1705" spans="1:9" ht="25.5" customHeight="1" x14ac:dyDescent="0.2">
      <c r="A1705" s="27">
        <v>1703</v>
      </c>
      <c r="B1705" s="29" t="s">
        <v>270</v>
      </c>
      <c r="C1705" s="29" t="str">
        <f ca="1">IFERROR(__xludf.DUMMYFUNCTION("GOOGLETRANSLATE(C599,""en"",""hr"")"),"Adapter")</f>
        <v>Adapter</v>
      </c>
      <c r="D1705" s="28" t="s">
        <v>11</v>
      </c>
      <c r="E1705" s="29">
        <v>1</v>
      </c>
      <c r="F1705" s="17"/>
    </row>
    <row r="1706" spans="1:9" ht="25.5" customHeight="1" x14ac:dyDescent="0.2">
      <c r="A1706" s="27">
        <v>1704</v>
      </c>
      <c r="B1706" s="29" t="s">
        <v>22</v>
      </c>
      <c r="C1706" s="29" t="str">
        <f ca="1">IFERROR(__xludf.DUMMYFUNCTION("GOOGLETRANSLATE(C19,""en"",""hr"")"),"Pritisak, prekidač")</f>
        <v>Pritisak, prekidač</v>
      </c>
      <c r="D1706" s="28" t="s">
        <v>11</v>
      </c>
      <c r="E1706" s="29">
        <v>1</v>
      </c>
      <c r="F1706" s="17"/>
      <c r="I1706" s="4" t="b">
        <f>INT(F1704*100)=(F1704*100)</f>
        <v>1</v>
      </c>
    </row>
    <row r="1707" spans="1:9" ht="25.5" customHeight="1" x14ac:dyDescent="0.2">
      <c r="A1707" s="27">
        <v>1705</v>
      </c>
      <c r="B1707" s="29" t="s">
        <v>237</v>
      </c>
      <c r="C1707" s="29" t="str">
        <f ca="1">IFERROR(__xludf.DUMMYFUNCTION("GOOGLETRANSLATE(C502,""en"",""hr"")"),"Pritisak, prekidač")</f>
        <v>Pritisak, prekidač</v>
      </c>
      <c r="D1707" s="28" t="s">
        <v>11</v>
      </c>
      <c r="E1707" s="29">
        <v>1</v>
      </c>
      <c r="F1707" s="17"/>
    </row>
    <row r="1708" spans="1:9" ht="25.5" customHeight="1" x14ac:dyDescent="0.2">
      <c r="A1708" s="27">
        <v>1706</v>
      </c>
      <c r="B1708" s="29" t="s">
        <v>254</v>
      </c>
      <c r="C1708" s="29" t="str">
        <f ca="1">IFERROR(__xludf.DUMMYFUNCTION("GOOGLETRANSLATE(C550,""en"",""hr"")"),"Pritisak, prekidač")</f>
        <v>Pritisak, prekidač</v>
      </c>
      <c r="D1708" s="28" t="s">
        <v>11</v>
      </c>
      <c r="E1708" s="29">
        <v>1</v>
      </c>
      <c r="F1708" s="17"/>
    </row>
    <row r="1709" spans="1:9" ht="25.5" customHeight="1" x14ac:dyDescent="0.2">
      <c r="A1709" s="27">
        <v>1707</v>
      </c>
      <c r="B1709" s="29" t="s">
        <v>253</v>
      </c>
      <c r="C1709" s="29" t="str">
        <f ca="1">IFERROR(__xludf.DUMMYFUNCTION("GOOGLETRANSLATE(C534,""en"",""hr"")"),"Pritisak, prekidač")</f>
        <v>Pritisak, prekidač</v>
      </c>
      <c r="D1709" s="28" t="s">
        <v>11</v>
      </c>
      <c r="E1709" s="29">
        <v>1</v>
      </c>
      <c r="F1709" s="17"/>
    </row>
    <row r="1710" spans="1:9" ht="25.5" customHeight="1" x14ac:dyDescent="0.2">
      <c r="A1710" s="27">
        <v>1708</v>
      </c>
      <c r="B1710" s="29" t="s">
        <v>1757</v>
      </c>
      <c r="C1710" s="29" t="str">
        <f ca="1">IFERROR(__xludf.DUMMYFUNCTION("GOOGLETRANSLATE(C6123,""en"",""hr"")"),"Tlak, Prekidač - unaprijed podešen 150 bara")</f>
        <v>Tlak, Prekidač - unaprijed podešen 150 bara</v>
      </c>
      <c r="D1710" s="28" t="s">
        <v>11</v>
      </c>
      <c r="E1710" s="29">
        <v>1</v>
      </c>
      <c r="F1710" s="17"/>
    </row>
    <row r="1711" spans="1:9" ht="25.5" customHeight="1" x14ac:dyDescent="0.2">
      <c r="A1711" s="27">
        <v>1709</v>
      </c>
      <c r="B1711" s="29" t="s">
        <v>1758</v>
      </c>
      <c r="C1711" s="29" t="str">
        <f ca="1">IFERROR(__xludf.DUMMYFUNCTION("GOOGLETRANSLATE(C6124,""en"",""hr"")"),"Tlačna sklopka - podešena na 6 bara")</f>
        <v>Tlačna sklopka - podešena na 6 bara</v>
      </c>
      <c r="D1711" s="28" t="s">
        <v>11</v>
      </c>
      <c r="E1711" s="29">
        <v>1</v>
      </c>
      <c r="F1711" s="17"/>
    </row>
    <row r="1712" spans="1:9" ht="25.5" customHeight="1" x14ac:dyDescent="0.2">
      <c r="A1712" s="27">
        <v>1710</v>
      </c>
      <c r="B1712" s="29" t="s">
        <v>1759</v>
      </c>
      <c r="C1712" s="29" t="str">
        <f ca="1">IFERROR(__xludf.DUMMYFUNCTION("GOOGLETRANSLATE(C6125,""en"",""hr"")"),"Presostat - prednamješten na 2,5 bara")</f>
        <v>Presostat - prednamješten na 2,5 bara</v>
      </c>
      <c r="D1712" s="28" t="s">
        <v>11</v>
      </c>
      <c r="E1712" s="29">
        <v>1</v>
      </c>
      <c r="F1712" s="17"/>
    </row>
    <row r="1713" spans="1:9" ht="25.5" customHeight="1" x14ac:dyDescent="0.2">
      <c r="A1713" s="27">
        <v>1711</v>
      </c>
      <c r="B1713" s="29" t="s">
        <v>591</v>
      </c>
      <c r="C1713" s="29" t="str">
        <f ca="1">IFERROR(__xludf.DUMMYFUNCTION("GOOGLETRANSLATE(C1723,""en"",""hr"")"),"Utikač")</f>
        <v>Utikač</v>
      </c>
      <c r="D1713" s="28" t="s">
        <v>11</v>
      </c>
      <c r="E1713" s="29">
        <v>1</v>
      </c>
      <c r="F1713" s="17"/>
    </row>
    <row r="1714" spans="1:9" ht="25.5" customHeight="1" x14ac:dyDescent="0.2">
      <c r="A1714" s="27">
        <v>1712</v>
      </c>
      <c r="B1714" s="29" t="s">
        <v>593</v>
      </c>
      <c r="C1714" s="29" t="str">
        <f ca="1">IFERROR(__xludf.DUMMYFUNCTION("GOOGLETRANSLATE(C1726,""en"",""hr"")"),"Kabelska uvodnica")</f>
        <v>Kabelska uvodnica</v>
      </c>
      <c r="D1714" s="28" t="s">
        <v>11</v>
      </c>
      <c r="E1714" s="29">
        <v>1</v>
      </c>
      <c r="F1714" s="17"/>
    </row>
    <row r="1715" spans="1:9" ht="25.5" customHeight="1" x14ac:dyDescent="0.2">
      <c r="A1715" s="27">
        <v>1713</v>
      </c>
      <c r="B1715" s="29" t="s">
        <v>1810</v>
      </c>
      <c r="C1715" s="29" t="str">
        <f ca="1">IFERROR(__xludf.DUMMYFUNCTION("GOOGLETRANSLATE(C6342,""en"",""hr"")"),"Čep za zaključavanje")</f>
        <v>Čep za zaključavanje</v>
      </c>
      <c r="D1715" s="28" t="s">
        <v>11</v>
      </c>
      <c r="E1715" s="29">
        <v>1</v>
      </c>
      <c r="F1715" s="17"/>
    </row>
    <row r="1716" spans="1:9" ht="25.5" customHeight="1" x14ac:dyDescent="0.2">
      <c r="A1716" s="27">
        <v>1714</v>
      </c>
      <c r="B1716" s="29" t="s">
        <v>1655</v>
      </c>
      <c r="C1716" s="29" t="str">
        <f ca="1">IFERROR(__xludf.DUMMYFUNCTION("GOOGLETRANSLATE(C5633,""en"",""hr"")"),"Zasun za zaključavanje")</f>
        <v>Zasun za zaključavanje</v>
      </c>
      <c r="D1716" s="28" t="s">
        <v>11</v>
      </c>
      <c r="E1716" s="29">
        <v>1</v>
      </c>
      <c r="F1716" s="17"/>
    </row>
    <row r="1717" spans="1:9" ht="25.5" customHeight="1" x14ac:dyDescent="0.2">
      <c r="A1717" s="27">
        <v>1715</v>
      </c>
      <c r="B1717" s="29" t="s">
        <v>1830</v>
      </c>
      <c r="C1717" s="29" t="str">
        <f ca="1">IFERROR(__xludf.DUMMYFUNCTION("GOOGLETRANSLATE(C6397,""en"",""hr"")"),"Kabelska uvodnica")</f>
        <v>Kabelska uvodnica</v>
      </c>
      <c r="D1717" s="28" t="s">
        <v>11</v>
      </c>
      <c r="E1717" s="29">
        <v>1</v>
      </c>
      <c r="F1717" s="17"/>
    </row>
    <row r="1718" spans="1:9" ht="25.5" customHeight="1" x14ac:dyDescent="0.2">
      <c r="A1718" s="27">
        <v>1716</v>
      </c>
      <c r="B1718" s="29" t="s">
        <v>1809</v>
      </c>
      <c r="C1718" s="29" t="str">
        <f ca="1">IFERROR(__xludf.DUMMYFUNCTION("GOOGLETRANSLATE(C6340,""en"",""hr"")"),"Traka")</f>
        <v>Traka</v>
      </c>
      <c r="D1718" s="28" t="s">
        <v>11</v>
      </c>
      <c r="E1718" s="29">
        <v>1</v>
      </c>
      <c r="F1718" s="17"/>
    </row>
    <row r="1719" spans="1:9" ht="25.5" customHeight="1" x14ac:dyDescent="0.2">
      <c r="A1719" s="27">
        <v>1717</v>
      </c>
      <c r="B1719" s="29" t="s">
        <v>1807</v>
      </c>
      <c r="C1719" s="29" t="str">
        <f ca="1">IFERROR(__xludf.DUMMYFUNCTION("GOOGLETRANSLATE(C6338,""en"",""hr"")"),"Traka")</f>
        <v>Traka</v>
      </c>
      <c r="D1719" s="28" t="s">
        <v>11</v>
      </c>
      <c r="E1719" s="29">
        <v>1</v>
      </c>
      <c r="F1719" s="17"/>
    </row>
    <row r="1720" spans="1:9" ht="25.5" customHeight="1" x14ac:dyDescent="0.2">
      <c r="A1720" s="27">
        <v>1718</v>
      </c>
      <c r="B1720" s="29" t="s">
        <v>1642</v>
      </c>
      <c r="C1720" s="29" t="str">
        <f ca="1">IFERROR(__xludf.DUMMYFUNCTION("GOOGLETRANSLATE(C5548,""en"",""hr"")"),"Termostat")</f>
        <v>Termostat</v>
      </c>
      <c r="D1720" s="28" t="s">
        <v>11</v>
      </c>
      <c r="E1720" s="29">
        <v>1</v>
      </c>
      <c r="F1720" s="17"/>
    </row>
    <row r="1721" spans="1:9" ht="25.5" customHeight="1" x14ac:dyDescent="0.2">
      <c r="A1721" s="27">
        <v>1719</v>
      </c>
      <c r="B1721" s="29" t="s">
        <v>291</v>
      </c>
      <c r="C1721" s="29" t="str">
        <f ca="1">IFERROR(__xludf.DUMMYFUNCTION("GOOGLETRANSLATE(C641,""en"",""hr"")"),"Senzor brzine")</f>
        <v>Senzor brzine</v>
      </c>
      <c r="D1721" s="28" t="s">
        <v>11</v>
      </c>
      <c r="E1721" s="29">
        <v>1</v>
      </c>
      <c r="F1721" s="17"/>
    </row>
    <row r="1722" spans="1:9" ht="25.5" customHeight="1" x14ac:dyDescent="0.2">
      <c r="A1722" s="27">
        <v>1720</v>
      </c>
      <c r="B1722" s="29" t="s">
        <v>295</v>
      </c>
      <c r="C1722" s="29" t="str">
        <f ca="1">IFERROR(__xludf.DUMMYFUNCTION("GOOGLETRANSLATE(C657,""en"",""hr"")"),"Senzor kuta rotacije")</f>
        <v>Senzor kuta rotacije</v>
      </c>
      <c r="D1722" s="28" t="s">
        <v>11</v>
      </c>
      <c r="E1722" s="29">
        <v>1</v>
      </c>
      <c r="F1722" s="17"/>
    </row>
    <row r="1723" spans="1:9" ht="25.5" customHeight="1" x14ac:dyDescent="0.2">
      <c r="A1723" s="27">
        <v>1721</v>
      </c>
      <c r="B1723" s="29" t="s">
        <v>1787</v>
      </c>
      <c r="C1723" s="29" t="str">
        <f ca="1">IFERROR(__xludf.DUMMYFUNCTION("GOOGLETRANSLATE(C6189,""en"",""hr"")"),"Senzor tlaka")</f>
        <v>Senzor tlaka</v>
      </c>
      <c r="D1723" s="28" t="s">
        <v>11</v>
      </c>
      <c r="E1723" s="29">
        <v>1</v>
      </c>
      <c r="F1723" s="17"/>
    </row>
    <row r="1724" spans="1:9" ht="25.5" customHeight="1" x14ac:dyDescent="0.2">
      <c r="A1724" s="27">
        <v>1722</v>
      </c>
      <c r="B1724" s="29" t="s">
        <v>296</v>
      </c>
      <c r="C1724" s="29" t="str">
        <f ca="1">IFERROR(__xludf.DUMMYFUNCTION("GOOGLETRANSLATE(C658,""en"",""hr"")"),"Senzor kuta kpl.")</f>
        <v>Senzor kuta kpl.</v>
      </c>
      <c r="D1724" s="28" t="s">
        <v>11</v>
      </c>
      <c r="E1724" s="29">
        <v>1</v>
      </c>
      <c r="F1724" s="17"/>
    </row>
    <row r="1725" spans="1:9" ht="25.5" customHeight="1" x14ac:dyDescent="0.2">
      <c r="A1725" s="27">
        <v>1723</v>
      </c>
      <c r="B1725" s="29" t="s">
        <v>1685</v>
      </c>
      <c r="C1725" s="29" t="str">
        <f ca="1">IFERROR(__xludf.DUMMYFUNCTION("GOOGLETRANSLATE(C5842,""en"",""hr"")"),"Regulator temperature ulja")</f>
        <v>Regulator temperature ulja</v>
      </c>
      <c r="D1725" s="28" t="s">
        <v>11</v>
      </c>
      <c r="E1725" s="29">
        <v>1</v>
      </c>
      <c r="F1725" s="17"/>
      <c r="I1725" s="4" t="b">
        <f>INT(F1723*100)=(F1723*100)</f>
        <v>1</v>
      </c>
    </row>
    <row r="1726" spans="1:9" ht="25.5" customHeight="1" x14ac:dyDescent="0.2">
      <c r="A1726" s="27">
        <v>1724</v>
      </c>
      <c r="B1726" s="29" t="s">
        <v>592</v>
      </c>
      <c r="C1726" s="29" t="str">
        <f ca="1">IFERROR(__xludf.DUMMYFUNCTION("GOOGLETRANSLATE(C1724,""en"",""hr"")"),"Filter")</f>
        <v>Filter</v>
      </c>
      <c r="D1726" s="28" t="s">
        <v>11</v>
      </c>
      <c r="E1726" s="29">
        <v>1</v>
      </c>
      <c r="F1726" s="17"/>
    </row>
    <row r="1727" spans="1:9" ht="25.5" customHeight="1" x14ac:dyDescent="0.2">
      <c r="A1727" s="27">
        <v>1725</v>
      </c>
      <c r="B1727" s="29" t="s">
        <v>1638</v>
      </c>
      <c r="C1727" s="29" t="str">
        <f ca="1">IFERROR(__xludf.DUMMYFUNCTION("GOOGLETRANSLATE(C5511,""en"",""hr"")"),"Otpornik")</f>
        <v>Otpornik</v>
      </c>
      <c r="D1727" s="28" t="s">
        <v>11</v>
      </c>
      <c r="E1727" s="29">
        <v>1</v>
      </c>
      <c r="F1727" s="17"/>
    </row>
    <row r="1728" spans="1:9" ht="25.5" customHeight="1" x14ac:dyDescent="0.2">
      <c r="A1728" s="27">
        <v>1726</v>
      </c>
      <c r="B1728" s="29" t="s">
        <v>596</v>
      </c>
      <c r="C1728" s="29" t="str">
        <f ca="1">IFERROR(__xludf.DUMMYFUNCTION("GOOGLETRANSLATE(C1738,""en"",""hr"")"),"Inverter")</f>
        <v>Inverter</v>
      </c>
      <c r="D1728" s="28" t="s">
        <v>11</v>
      </c>
      <c r="E1728" s="29">
        <v>1</v>
      </c>
      <c r="F1728" s="17"/>
      <c r="I1728" s="4" t="b">
        <f>INT(F1726*100)=(F1726*100)</f>
        <v>1</v>
      </c>
    </row>
    <row r="1729" spans="1:9" ht="25.5" customHeight="1" x14ac:dyDescent="0.2">
      <c r="A1729" s="27">
        <v>1727</v>
      </c>
      <c r="B1729" s="29" t="s">
        <v>598</v>
      </c>
      <c r="C1729" s="29" t="str">
        <f ca="1">IFERROR(__xludf.DUMMYFUNCTION("GOOGLETRANSLATE(C1740,""en"",""hr"")"),"Zaštita")</f>
        <v>Zaštita</v>
      </c>
      <c r="D1729" s="28" t="s">
        <v>11</v>
      </c>
      <c r="E1729" s="29">
        <v>1</v>
      </c>
      <c r="F1729" s="17"/>
    </row>
    <row r="1730" spans="1:9" ht="25.5" customHeight="1" x14ac:dyDescent="0.2">
      <c r="A1730" s="27">
        <v>1728</v>
      </c>
      <c r="B1730" s="29" t="s">
        <v>599</v>
      </c>
      <c r="C1730" s="29" t="str">
        <f ca="1">IFERROR(__xludf.DUMMYFUNCTION("GOOGLETRANSLATE(C1741,""en"",""hr"")"),"Zaštitna kapuljača")</f>
        <v>Zaštitna kapuljača</v>
      </c>
      <c r="D1730" s="28" t="s">
        <v>11</v>
      </c>
      <c r="E1730" s="29">
        <v>1</v>
      </c>
      <c r="F1730" s="17"/>
    </row>
    <row r="1731" spans="1:9" ht="25.5" customHeight="1" x14ac:dyDescent="0.2">
      <c r="A1731" s="27">
        <v>1729</v>
      </c>
      <c r="B1731" s="29" t="s">
        <v>597</v>
      </c>
      <c r="C1731" s="29" t="str">
        <f ca="1">IFERROR(__xludf.DUMMYFUNCTION("GOOGLETRANSLATE(C1739,""en"",""hr"")"),"Zaštita")</f>
        <v>Zaštita</v>
      </c>
      <c r="D1731" s="28" t="s">
        <v>11</v>
      </c>
      <c r="E1731" s="29">
        <v>1</v>
      </c>
      <c r="F1731" s="17"/>
    </row>
    <row r="1732" spans="1:9" ht="25.5" customHeight="1" x14ac:dyDescent="0.2">
      <c r="A1732" s="27">
        <v>1730</v>
      </c>
      <c r="B1732" s="29" t="s">
        <v>600</v>
      </c>
      <c r="C1732" s="29" t="str">
        <f ca="1">IFERROR(__xludf.DUMMYFUNCTION("GOOGLETRANSLATE(C1743,""en"",""hr"")"),"Punjač")</f>
        <v>Punjač</v>
      </c>
      <c r="D1732" s="28" t="s">
        <v>11</v>
      </c>
      <c r="E1732" s="29">
        <v>1</v>
      </c>
      <c r="F1732" s="17"/>
      <c r="I1732" s="4" t="b">
        <f>INT(F1730*100)=(F1730*100)</f>
        <v>1</v>
      </c>
    </row>
    <row r="1733" spans="1:9" ht="25.5" customHeight="1" x14ac:dyDescent="0.2">
      <c r="A1733" s="27">
        <v>1731</v>
      </c>
      <c r="B1733" s="29" t="s">
        <v>1911</v>
      </c>
      <c r="C1733" s="29" t="str">
        <f ca="1">IFERROR(__xludf.DUMMYFUNCTION("GOOGLETRANSLATE(C6667,""en"",""hr"")"),"Kabel, priključak")</f>
        <v>Kabel, priključak</v>
      </c>
      <c r="D1733" s="28" t="s">
        <v>11</v>
      </c>
      <c r="E1733" s="29">
        <v>1</v>
      </c>
      <c r="F1733" s="17"/>
    </row>
    <row r="1734" spans="1:9" ht="25.5" customHeight="1" x14ac:dyDescent="0.2">
      <c r="A1734" s="27">
        <v>1732</v>
      </c>
      <c r="B1734" s="29" t="s">
        <v>1912</v>
      </c>
      <c r="C1734" s="29" t="str">
        <f ca="1">IFERROR(__xludf.DUMMYFUNCTION("GOOGLETRANSLATE(C6668,""en"",""hr"")"),"Kabel, priključak")</f>
        <v>Kabel, priključak</v>
      </c>
      <c r="D1734" s="28" t="s">
        <v>11</v>
      </c>
      <c r="E1734" s="29">
        <v>1</v>
      </c>
      <c r="F1734" s="17"/>
    </row>
    <row r="1735" spans="1:9" ht="25.5" customHeight="1" x14ac:dyDescent="0.2">
      <c r="A1735" s="27">
        <v>1733</v>
      </c>
      <c r="B1735" s="29" t="s">
        <v>1910</v>
      </c>
      <c r="C1735" s="29" t="str">
        <f ca="1">IFERROR(__xludf.DUMMYFUNCTION("GOOGLETRANSLATE(C6661,""en"",""hr"")"),"Fotoaparat")</f>
        <v>Fotoaparat</v>
      </c>
      <c r="D1735" s="28" t="s">
        <v>11</v>
      </c>
      <c r="E1735" s="29">
        <v>1</v>
      </c>
      <c r="F1735" s="17"/>
    </row>
    <row r="1736" spans="1:9" ht="25.5" customHeight="1" x14ac:dyDescent="0.2">
      <c r="A1736" s="27">
        <v>1734</v>
      </c>
      <c r="B1736" s="29" t="s">
        <v>1835</v>
      </c>
      <c r="C1736" s="29" t="str">
        <f ca="1">IFERROR(__xludf.DUMMYFUNCTION("GOOGLETRANSLATE(C6424,""en"",""hr"")"),"Razmaknica")</f>
        <v>Razmaknica</v>
      </c>
      <c r="D1736" s="28" t="s">
        <v>11</v>
      </c>
      <c r="E1736" s="29">
        <v>1</v>
      </c>
      <c r="F1736" s="17"/>
    </row>
    <row r="1737" spans="1:9" ht="25.5" customHeight="1" x14ac:dyDescent="0.2">
      <c r="A1737" s="27">
        <v>1735</v>
      </c>
      <c r="B1737" s="29" t="s">
        <v>976</v>
      </c>
      <c r="C1737" s="29" t="str">
        <f ca="1">IFERROR(__xludf.DUMMYFUNCTION("GOOGLETRANSLATE(C3109,""en"",""hr"")"),"Razmaknica")</f>
        <v>Razmaknica</v>
      </c>
      <c r="D1737" s="28" t="s">
        <v>11</v>
      </c>
      <c r="E1737" s="29">
        <v>1</v>
      </c>
      <c r="F1737" s="17"/>
    </row>
    <row r="1738" spans="1:9" ht="25.5" customHeight="1" x14ac:dyDescent="0.2">
      <c r="A1738" s="27">
        <v>1736</v>
      </c>
      <c r="B1738" s="29" t="s">
        <v>1554</v>
      </c>
      <c r="C1738" s="29" t="str">
        <f ca="1">IFERROR(__xludf.DUMMYFUNCTION("GOOGLETRANSLATE(C5292,""en"",""hr"")"),"kapa")</f>
        <v>kapa</v>
      </c>
      <c r="D1738" s="28" t="s">
        <v>11</v>
      </c>
      <c r="E1738" s="29">
        <v>1</v>
      </c>
      <c r="F1738" s="17"/>
    </row>
    <row r="1739" spans="1:9" ht="25.5" customHeight="1" x14ac:dyDescent="0.2">
      <c r="A1739" s="27">
        <v>1737</v>
      </c>
      <c r="B1739" s="29" t="s">
        <v>1536</v>
      </c>
      <c r="C1739" s="29" t="str">
        <f ca="1">IFERROR(__xludf.DUMMYFUNCTION("GOOGLETRANSLATE(C5202,""en"",""hr"")"),"Montažna ploča")</f>
        <v>Montažna ploča</v>
      </c>
      <c r="D1739" s="28" t="s">
        <v>11</v>
      </c>
      <c r="E1739" s="29">
        <v>1</v>
      </c>
      <c r="F1739" s="17"/>
    </row>
    <row r="1740" spans="1:9" ht="25.5" customHeight="1" x14ac:dyDescent="0.2">
      <c r="A1740" s="27">
        <v>1738</v>
      </c>
      <c r="B1740" s="29" t="s">
        <v>1581</v>
      </c>
      <c r="C1740" s="29" t="str">
        <f ca="1">IFERROR(__xludf.DUMMYFUNCTION("GOOGLETRANSLATE(C5352,""en"",""hr"")"),"Čahura kabela")</f>
        <v>Čahura kabela</v>
      </c>
      <c r="D1740" s="28" t="s">
        <v>11</v>
      </c>
      <c r="E1740" s="29">
        <v>1</v>
      </c>
      <c r="F1740" s="17"/>
    </row>
    <row r="1741" spans="1:9" ht="25.5" customHeight="1" x14ac:dyDescent="0.2">
      <c r="A1741" s="27">
        <v>1739</v>
      </c>
      <c r="B1741" s="29" t="s">
        <v>1832</v>
      </c>
      <c r="C1741" s="29" t="str">
        <f ca="1">IFERROR(__xludf.DUMMYFUNCTION("GOOGLETRANSLATE(C6399,""en"",""hr"")"),"Čahura kabela")</f>
        <v>Čahura kabela</v>
      </c>
      <c r="D1741" s="28" t="s">
        <v>11</v>
      </c>
      <c r="E1741" s="29">
        <v>1</v>
      </c>
      <c r="F1741" s="17"/>
    </row>
    <row r="1742" spans="1:9" ht="25.5" customHeight="1" x14ac:dyDescent="0.2">
      <c r="A1742" s="27">
        <v>1740</v>
      </c>
      <c r="B1742" s="29" t="s">
        <v>1860</v>
      </c>
      <c r="C1742" s="29" t="str">
        <f ca="1">IFERROR(__xludf.DUMMYFUNCTION("GOOGLETRANSLATE(C6525,""en"",""hr"")"),"Grommet")</f>
        <v>Grommet</v>
      </c>
      <c r="D1742" s="28" t="s">
        <v>11</v>
      </c>
      <c r="E1742" s="29">
        <v>1</v>
      </c>
      <c r="F1742" s="17"/>
    </row>
    <row r="1743" spans="1:9" ht="25.5" customHeight="1" x14ac:dyDescent="0.2">
      <c r="A1743" s="27">
        <v>1741</v>
      </c>
      <c r="B1743" s="29" t="s">
        <v>1808</v>
      </c>
      <c r="C1743" s="29" t="str">
        <f ca="1">IFERROR(__xludf.DUMMYFUNCTION("GOOGLETRANSLATE(C6339,""en"",""hr"")"),"Grommet")</f>
        <v>Grommet</v>
      </c>
      <c r="D1743" s="28" t="s">
        <v>11</v>
      </c>
      <c r="E1743" s="29">
        <v>1</v>
      </c>
      <c r="F1743" s="17"/>
    </row>
    <row r="1744" spans="1:9" ht="25.5" customHeight="1" x14ac:dyDescent="0.2">
      <c r="A1744" s="27">
        <v>1742</v>
      </c>
      <c r="B1744" s="29" t="s">
        <v>1637</v>
      </c>
      <c r="C1744" s="29" t="str">
        <f ca="1">IFERROR(__xludf.DUMMYFUNCTION("GOOGLETRANSLATE(C5510,""en"",""hr"")"),"Ventilator")</f>
        <v>Ventilator</v>
      </c>
      <c r="D1744" s="28" t="s">
        <v>11</v>
      </c>
      <c r="E1744" s="29">
        <v>1</v>
      </c>
      <c r="F1744" s="17"/>
    </row>
    <row r="1745" spans="1:9" ht="25.5" customHeight="1" x14ac:dyDescent="0.2">
      <c r="A1745" s="27">
        <v>1743</v>
      </c>
      <c r="B1745" s="29" t="s">
        <v>1919</v>
      </c>
      <c r="C1745" s="29" t="str">
        <f ca="1">IFERROR(__xludf.DUMMYFUNCTION("GOOGLETRANSLATE(C6682,""en"",""hr"")"),"Kabel adaptera")</f>
        <v>Kabel adaptera</v>
      </c>
      <c r="D1745" s="28" t="s">
        <v>11</v>
      </c>
      <c r="E1745" s="29">
        <v>1</v>
      </c>
      <c r="F1745" s="17"/>
    </row>
    <row r="1746" spans="1:9" ht="25.5" customHeight="1" x14ac:dyDescent="0.2">
      <c r="A1746" s="27">
        <v>1744</v>
      </c>
      <c r="B1746" s="29" t="s">
        <v>1920</v>
      </c>
      <c r="C1746" s="29" t="str">
        <f ca="1">IFERROR(__xludf.DUMMYFUNCTION("GOOGLETRANSLATE(C6683,""en"",""hr"")"),"Vrsta adaptera G (UK)")</f>
        <v>Vrsta adaptera G (UK)</v>
      </c>
      <c r="D1746" s="28" t="s">
        <v>11</v>
      </c>
      <c r="E1746" s="29">
        <v>1</v>
      </c>
      <c r="F1746" s="17"/>
    </row>
    <row r="1747" spans="1:9" ht="25.5" customHeight="1" x14ac:dyDescent="0.2">
      <c r="A1747" s="27">
        <v>1745</v>
      </c>
      <c r="B1747" s="29" t="s">
        <v>1921</v>
      </c>
      <c r="C1747" s="29" t="str">
        <f ca="1">IFERROR(__xludf.DUMMYFUNCTION("GOOGLETRANSLATE(C6684,""en"",""hr"")"),"Tip adaptera G (IT)")</f>
        <v>Tip adaptera G (IT)</v>
      </c>
      <c r="D1747" s="28" t="s">
        <v>11</v>
      </c>
      <c r="E1747" s="29">
        <v>1</v>
      </c>
      <c r="F1747" s="17"/>
    </row>
    <row r="1748" spans="1:9" ht="25.5" customHeight="1" x14ac:dyDescent="0.2">
      <c r="A1748" s="27">
        <v>1746</v>
      </c>
      <c r="B1748" s="29" t="s">
        <v>1922</v>
      </c>
      <c r="C1748" s="29" t="str">
        <f ca="1">IFERROR(__xludf.DUMMYFUNCTION("GOOGLETRANSLATE(C6685,""en"",""hr"")"),"Tip adaptera CCEE16 400V")</f>
        <v>Tip adaptera CCEE16 400V</v>
      </c>
      <c r="D1748" s="28" t="s">
        <v>11</v>
      </c>
      <c r="E1748" s="29">
        <v>1</v>
      </c>
      <c r="F1748" s="17"/>
    </row>
    <row r="1749" spans="1:9" ht="25.5" customHeight="1" x14ac:dyDescent="0.2">
      <c r="A1749" s="27">
        <v>1747</v>
      </c>
      <c r="B1749" s="29" t="s">
        <v>1923</v>
      </c>
      <c r="C1749" s="29" t="str">
        <f ca="1">IFERROR(__xludf.DUMMYFUNCTION("GOOGLETRANSLATE(C6686,""en"",""hr"")"),"Adapter")</f>
        <v>Adapter</v>
      </c>
      <c r="D1749" s="28" t="s">
        <v>11</v>
      </c>
      <c r="E1749" s="29">
        <v>1</v>
      </c>
      <c r="F1749" s="17"/>
      <c r="I1749" s="4" t="b">
        <f>INT(F1394*100)=(F1394*100)</f>
        <v>1</v>
      </c>
    </row>
    <row r="1750" spans="1:9" ht="25.5" customHeight="1" x14ac:dyDescent="0.2">
      <c r="A1750" s="27">
        <v>1748</v>
      </c>
      <c r="B1750" s="29" t="s">
        <v>1924</v>
      </c>
      <c r="C1750" s="29" t="str">
        <f ca="1">IFERROR(__xludf.DUMMYFUNCTION("GOOGLETRANSLATE(C6687,""en"",""hr"")"),"AC kabel za punjenje tip 2")</f>
        <v>AC kabel za punjenje tip 2</v>
      </c>
      <c r="D1750" s="28" t="s">
        <v>11</v>
      </c>
      <c r="E1750" s="29">
        <v>1</v>
      </c>
      <c r="F1750" s="17"/>
    </row>
    <row r="1751" spans="1:9" ht="25.5" customHeight="1" x14ac:dyDescent="0.2">
      <c r="A1751" s="27">
        <v>1749</v>
      </c>
      <c r="B1751" s="29" t="s">
        <v>1556</v>
      </c>
      <c r="C1751" s="29" t="str">
        <f ca="1">IFERROR(__xludf.DUMMYFUNCTION("GOOGLETRANSLATE(C5300,""en"",""hr"")"),"Kabel (+CC)")</f>
        <v>Kabel (+CC)</v>
      </c>
      <c r="D1751" s="28" t="s">
        <v>11</v>
      </c>
      <c r="E1751" s="29">
        <v>1</v>
      </c>
      <c r="F1751" s="17"/>
    </row>
    <row r="1752" spans="1:9" ht="25.5" customHeight="1" x14ac:dyDescent="0.2">
      <c r="A1752" s="27">
        <v>1750</v>
      </c>
      <c r="B1752" s="29" t="s">
        <v>1846</v>
      </c>
      <c r="C1752" s="29" t="str">
        <f ca="1">IFERROR(__xludf.DUMMYFUNCTION("GOOGLETRANSLATE(C6456,""en"",""hr"")"),"brava")</f>
        <v>brava</v>
      </c>
      <c r="D1752" s="28" t="s">
        <v>11</v>
      </c>
      <c r="E1752" s="29">
        <v>1</v>
      </c>
      <c r="F1752" s="17"/>
    </row>
    <row r="1753" spans="1:9" ht="25.5" customHeight="1" x14ac:dyDescent="0.2">
      <c r="A1753" s="27">
        <v>1751</v>
      </c>
      <c r="B1753" s="29" t="s">
        <v>1847</v>
      </c>
      <c r="C1753" s="29" t="str">
        <f ca="1">IFERROR(__xludf.DUMMYFUNCTION("GOOGLETRANSLATE(C6457,""en"",""hr"")"),"Osigurač")</f>
        <v>Osigurač</v>
      </c>
      <c r="D1753" s="28" t="s">
        <v>11</v>
      </c>
      <c r="E1753" s="29">
        <v>1</v>
      </c>
      <c r="F1753" s="17"/>
      <c r="I1753" s="4" t="b">
        <f>INT(F1751*100)=(F1751*100)</f>
        <v>1</v>
      </c>
    </row>
    <row r="1754" spans="1:9" ht="25.5" customHeight="1" x14ac:dyDescent="0.2">
      <c r="A1754" s="27">
        <v>1752</v>
      </c>
      <c r="B1754" s="29" t="s">
        <v>1849</v>
      </c>
      <c r="C1754" s="29" t="str">
        <f ca="1">IFERROR(__xludf.DUMMYFUNCTION("GOOGLETRANSLATE(C6459,""en"",""hr"")"),"brava")</f>
        <v>brava</v>
      </c>
      <c r="D1754" s="28" t="s">
        <v>11</v>
      </c>
      <c r="E1754" s="29">
        <v>1</v>
      </c>
      <c r="F1754" s="17"/>
    </row>
    <row r="1755" spans="1:9" ht="25.5" customHeight="1" x14ac:dyDescent="0.2">
      <c r="A1755" s="27">
        <v>1753</v>
      </c>
      <c r="B1755" s="29" t="s">
        <v>2002</v>
      </c>
      <c r="C1755" s="29" t="str">
        <f ca="1">IFERROR(__xludf.DUMMYFUNCTION("GOOGLETRANSLATE(C6785,""en"",""hr"")"),"Ljepljiva ploča")</f>
        <v>Ljepljiva ploča</v>
      </c>
      <c r="D1755" s="28" t="s">
        <v>11</v>
      </c>
      <c r="E1755" s="29">
        <v>1</v>
      </c>
      <c r="F1755" s="17"/>
    </row>
    <row r="1756" spans="1:9" ht="25.5" customHeight="1" x14ac:dyDescent="0.2">
      <c r="A1756" s="27">
        <v>1754</v>
      </c>
      <c r="B1756" s="29" t="s">
        <v>1871</v>
      </c>
      <c r="C1756" s="29" t="str">
        <f ca="1">IFERROR(__xludf.DUMMYFUNCTION("GOOGLETRANSLATE(C6584,""en"",""hr"")"),"Tester visokog napona Cat.1V 1000V")</f>
        <v>Tester visokog napona Cat.1V 1000V</v>
      </c>
      <c r="D1756" s="28" t="s">
        <v>11</v>
      </c>
      <c r="E1756" s="29">
        <v>1</v>
      </c>
      <c r="F1756" s="17"/>
    </row>
    <row r="1757" spans="1:9" ht="25.5" customHeight="1" x14ac:dyDescent="0.2">
      <c r="A1757" s="27">
        <v>1755</v>
      </c>
      <c r="B1757" s="29" t="s">
        <v>841</v>
      </c>
      <c r="C1757" s="29" t="str">
        <f ca="1">IFERROR(__xludf.DUMMYFUNCTION("GOOGLETRANSLATE(C2504,""en"",""hr"")"),"Potporni prsten")</f>
        <v>Potporni prsten</v>
      </c>
      <c r="D1757" s="28" t="s">
        <v>11</v>
      </c>
      <c r="E1757" s="29">
        <v>1</v>
      </c>
      <c r="F1757" s="17"/>
    </row>
    <row r="1758" spans="1:9" ht="25.5" customHeight="1" x14ac:dyDescent="0.2">
      <c r="A1758" s="27">
        <v>1756</v>
      </c>
      <c r="B1758" s="29" t="s">
        <v>734</v>
      </c>
      <c r="C1758" s="29" t="str">
        <f ca="1">IFERROR(__xludf.DUMMYFUNCTION("GOOGLETRANSLATE(C2303,""en"",""hr"")"),"Potporni prsten")</f>
        <v>Potporni prsten</v>
      </c>
      <c r="D1758" s="28" t="s">
        <v>11</v>
      </c>
      <c r="E1758" s="29">
        <v>1</v>
      </c>
      <c r="F1758" s="17"/>
    </row>
    <row r="1759" spans="1:9" ht="25.5" customHeight="1" x14ac:dyDescent="0.2">
      <c r="A1759" s="27">
        <v>1757</v>
      </c>
      <c r="B1759" s="29" t="s">
        <v>307</v>
      </c>
      <c r="C1759" s="29" t="str">
        <f ca="1">IFERROR(__xludf.DUMMYFUNCTION("GOOGLETRANSLATE(C680,""en"",""hr"")"),"Potporni prsten")</f>
        <v>Potporni prsten</v>
      </c>
      <c r="D1759" s="28" t="s">
        <v>11</v>
      </c>
      <c r="E1759" s="29">
        <v>1</v>
      </c>
      <c r="F1759" s="17"/>
    </row>
    <row r="1760" spans="1:9" ht="25.5" customHeight="1" x14ac:dyDescent="0.2">
      <c r="A1760" s="27">
        <v>1758</v>
      </c>
      <c r="B1760" s="29" t="s">
        <v>810</v>
      </c>
      <c r="C1760" s="29" t="str">
        <f ca="1">IFERROR(__xludf.DUMMYFUNCTION("GOOGLETRANSLATE(C2457,""en"",""hr"")"),"Potporni prsten")</f>
        <v>Potporni prsten</v>
      </c>
      <c r="D1760" s="28" t="s">
        <v>11</v>
      </c>
      <c r="E1760" s="29">
        <v>1</v>
      </c>
      <c r="F1760" s="17"/>
    </row>
    <row r="1761" spans="1:9" ht="25.5" customHeight="1" x14ac:dyDescent="0.2">
      <c r="A1761" s="27">
        <v>1759</v>
      </c>
      <c r="B1761" s="29" t="s">
        <v>869</v>
      </c>
      <c r="C1761" s="29" t="str">
        <f ca="1">IFERROR(__xludf.DUMMYFUNCTION("GOOGLETRANSLATE(C2548,""en"",""hr"")"),"Potporni prsten")</f>
        <v>Potporni prsten</v>
      </c>
      <c r="D1761" s="28" t="s">
        <v>11</v>
      </c>
      <c r="E1761" s="29">
        <v>1</v>
      </c>
      <c r="F1761" s="17"/>
    </row>
    <row r="1762" spans="1:9" ht="25.5" customHeight="1" x14ac:dyDescent="0.2">
      <c r="A1762" s="27">
        <v>1760</v>
      </c>
      <c r="B1762" s="29" t="s">
        <v>828</v>
      </c>
      <c r="C1762" s="29" t="str">
        <f ca="1">IFERROR(__xludf.DUMMYFUNCTION("GOOGLETRANSLATE(C2486,""en"",""hr"")"),"Potporni prsten")</f>
        <v>Potporni prsten</v>
      </c>
      <c r="D1762" s="28" t="s">
        <v>11</v>
      </c>
      <c r="E1762" s="29">
        <v>1</v>
      </c>
      <c r="F1762" s="17"/>
    </row>
    <row r="1763" spans="1:9" ht="25.5" customHeight="1" x14ac:dyDescent="0.2">
      <c r="A1763" s="27">
        <v>1761</v>
      </c>
      <c r="B1763" s="29" t="s">
        <v>774</v>
      </c>
      <c r="C1763" s="29" t="str">
        <f ca="1">IFERROR(__xludf.DUMMYFUNCTION("GOOGLETRANSLATE(C2403,""en"",""hr"")"),"Potporni prsten")</f>
        <v>Potporni prsten</v>
      </c>
      <c r="D1763" s="28" t="s">
        <v>11</v>
      </c>
      <c r="E1763" s="29">
        <v>1</v>
      </c>
      <c r="F1763" s="17"/>
    </row>
    <row r="1764" spans="1:9" ht="25.5" customHeight="1" x14ac:dyDescent="0.2">
      <c r="A1764" s="27">
        <v>1762</v>
      </c>
      <c r="B1764" s="29" t="s">
        <v>204</v>
      </c>
      <c r="C1764" s="29" t="str">
        <f ca="1">IFERROR(__xludf.DUMMYFUNCTION("GOOGLETRANSLATE(C439,""en"",""hr"")"),"Potporni prsten")</f>
        <v>Potporni prsten</v>
      </c>
      <c r="D1764" s="28" t="s">
        <v>11</v>
      </c>
      <c r="E1764" s="29">
        <v>1</v>
      </c>
      <c r="F1764" s="17"/>
    </row>
    <row r="1765" spans="1:9" ht="25.5" customHeight="1" x14ac:dyDescent="0.2">
      <c r="A1765" s="27">
        <v>1763</v>
      </c>
      <c r="B1765" s="29" t="s">
        <v>281</v>
      </c>
      <c r="C1765" s="29" t="str">
        <f ca="1">IFERROR(__xludf.DUMMYFUNCTION("GOOGLETRANSLATE(C625,""en"",""hr"")"),"Potporni prsten")</f>
        <v>Potporni prsten</v>
      </c>
      <c r="D1765" s="28" t="s">
        <v>11</v>
      </c>
      <c r="E1765" s="29">
        <v>1</v>
      </c>
      <c r="F1765" s="17"/>
    </row>
    <row r="1766" spans="1:9" ht="25.5" customHeight="1" x14ac:dyDescent="0.2">
      <c r="A1766" s="27">
        <v>1764</v>
      </c>
      <c r="B1766" s="29" t="s">
        <v>345</v>
      </c>
      <c r="C1766" s="29" t="str">
        <f ca="1">IFERROR(__xludf.DUMMYFUNCTION("GOOGLETRANSLATE(C773,""en"",""hr"")"),"Potporni prsten")</f>
        <v>Potporni prsten</v>
      </c>
      <c r="D1766" s="28" t="s">
        <v>11</v>
      </c>
      <c r="E1766" s="29">
        <v>1</v>
      </c>
      <c r="F1766" s="17"/>
    </row>
    <row r="1767" spans="1:9" ht="25.5" customHeight="1" x14ac:dyDescent="0.2">
      <c r="A1767" s="27">
        <v>1765</v>
      </c>
      <c r="B1767" s="29" t="s">
        <v>1270</v>
      </c>
      <c r="C1767" s="29" t="str">
        <f ca="1">IFERROR(__xludf.DUMMYFUNCTION("GOOGLETRANSLATE(C4003,""en"",""hr"")"),"Brtva osovine")</f>
        <v>Brtva osovine</v>
      </c>
      <c r="D1767" s="28" t="s">
        <v>11</v>
      </c>
      <c r="E1767" s="29">
        <v>1</v>
      </c>
      <c r="F1767" s="17"/>
    </row>
    <row r="1768" spans="1:9" ht="25.5" customHeight="1" x14ac:dyDescent="0.2">
      <c r="A1768" s="27">
        <v>1766</v>
      </c>
      <c r="B1768" s="29" t="s">
        <v>1344</v>
      </c>
      <c r="C1768" s="29" t="str">
        <f ca="1">IFERROR(__xludf.DUMMYFUNCTION("GOOGLETRANSLATE(C4236,""en"",""hr"")"),"Brtva osovine NBR")</f>
        <v>Brtva osovine NBR</v>
      </c>
      <c r="D1768" s="28" t="s">
        <v>11</v>
      </c>
      <c r="E1768" s="29">
        <v>1</v>
      </c>
      <c r="F1768" s="17"/>
    </row>
    <row r="1769" spans="1:9" ht="25.5" customHeight="1" x14ac:dyDescent="0.2">
      <c r="A1769" s="27">
        <v>1767</v>
      </c>
      <c r="B1769" s="29" t="s">
        <v>336</v>
      </c>
      <c r="C1769" s="29" t="str">
        <f ca="1">IFERROR(__xludf.DUMMYFUNCTION("GOOGLETRANSLATE(C758,""en"",""hr"")"),"Brtva osovine")</f>
        <v>Brtva osovine</v>
      </c>
      <c r="D1769" s="28" t="s">
        <v>11</v>
      </c>
      <c r="E1769" s="29">
        <v>1</v>
      </c>
      <c r="F1769" s="17"/>
    </row>
    <row r="1770" spans="1:9" ht="25.5" customHeight="1" x14ac:dyDescent="0.2">
      <c r="A1770" s="27">
        <v>1768</v>
      </c>
      <c r="B1770" s="29" t="s">
        <v>337</v>
      </c>
      <c r="C1770" s="29" t="str">
        <f ca="1">IFERROR(__xludf.DUMMYFUNCTION("GOOGLETRANSLATE(C759,""en"",""hr"")"),"Brtva osovine")</f>
        <v>Brtva osovine</v>
      </c>
      <c r="D1770" s="28" t="s">
        <v>11</v>
      </c>
      <c r="E1770" s="29">
        <v>1</v>
      </c>
      <c r="F1770" s="17"/>
    </row>
    <row r="1771" spans="1:9" ht="25.5" customHeight="1" x14ac:dyDescent="0.2">
      <c r="A1771" s="27">
        <v>1769</v>
      </c>
      <c r="B1771" s="29" t="s">
        <v>979</v>
      </c>
      <c r="C1771" s="29" t="str">
        <f ca="1">IFERROR(__xludf.DUMMYFUNCTION("GOOGLETRANSLATE(C3123,""en"",""hr"")"),"Proljeće")</f>
        <v>Proljeće</v>
      </c>
      <c r="D1771" s="28" t="s">
        <v>11</v>
      </c>
      <c r="E1771" s="29">
        <v>1</v>
      </c>
      <c r="F1771" s="17"/>
    </row>
    <row r="1772" spans="1:9" ht="25.5" customHeight="1" x14ac:dyDescent="0.2">
      <c r="A1772" s="27">
        <v>1770</v>
      </c>
      <c r="B1772" s="29" t="s">
        <v>1112</v>
      </c>
      <c r="C1772" s="29" t="str">
        <f ca="1">IFERROR(__xludf.DUMMYFUNCTION("GOOGLETRANSLATE(C3594,""en"",""hr"")"),"Proljeće")</f>
        <v>Proljeće</v>
      </c>
      <c r="D1772" s="28" t="s">
        <v>11</v>
      </c>
      <c r="E1772" s="29">
        <v>1</v>
      </c>
      <c r="F1772" s="17"/>
      <c r="I1772" s="4" t="b">
        <f>INT(F1770*100)=(F1770*100)</f>
        <v>1</v>
      </c>
    </row>
    <row r="1773" spans="1:9" ht="25.5" customHeight="1" x14ac:dyDescent="0.2">
      <c r="A1773" s="27">
        <v>1771</v>
      </c>
      <c r="B1773" s="29" t="s">
        <v>805</v>
      </c>
      <c r="C1773" s="29" t="str">
        <f ca="1">IFERROR(__xludf.DUMMYFUNCTION("GOOGLETRANSLATE(C2449,""en"",""hr"")"),"Plinski cilindar")</f>
        <v>Plinski cilindar</v>
      </c>
      <c r="D1773" s="28" t="s">
        <v>11</v>
      </c>
      <c r="E1773" s="29">
        <v>1</v>
      </c>
      <c r="F1773" s="17"/>
    </row>
    <row r="1774" spans="1:9" ht="25.5" customHeight="1" x14ac:dyDescent="0.2">
      <c r="A1774" s="27">
        <v>1772</v>
      </c>
      <c r="B1774" s="29" t="s">
        <v>899</v>
      </c>
      <c r="C1774" s="29" t="str">
        <f ca="1">IFERROR(__xludf.DUMMYFUNCTION("GOOGLETRANSLATE(C2658,""en"",""hr"")"),"Plinski cilindar")</f>
        <v>Plinski cilindar</v>
      </c>
      <c r="D1774" s="28" t="s">
        <v>11</v>
      </c>
      <c r="E1774" s="29">
        <v>1</v>
      </c>
      <c r="F1774" s="17"/>
    </row>
    <row r="1775" spans="1:9" ht="25.5" customHeight="1" x14ac:dyDescent="0.2">
      <c r="A1775" s="27">
        <v>1773</v>
      </c>
      <c r="B1775" s="29" t="s">
        <v>909</v>
      </c>
      <c r="C1775" s="29" t="str">
        <f ca="1">IFERROR(__xludf.DUMMYFUNCTION("GOOGLETRANSLATE(C2724,""en"",""hr"")"),"Plinski cilindar")</f>
        <v>Plinski cilindar</v>
      </c>
      <c r="D1775" s="28" t="s">
        <v>11</v>
      </c>
      <c r="E1775" s="29">
        <v>1</v>
      </c>
      <c r="F1775" s="17"/>
      <c r="I1775" s="4" t="b">
        <f>INT(F1773*100)=(F1773*100)</f>
        <v>1</v>
      </c>
    </row>
    <row r="1776" spans="1:9" ht="25.5" customHeight="1" x14ac:dyDescent="0.2">
      <c r="A1776" s="27">
        <v>1774</v>
      </c>
      <c r="B1776" s="29" t="s">
        <v>226</v>
      </c>
      <c r="C1776" s="29" t="str">
        <f ca="1">IFERROR(__xludf.DUMMYFUNCTION("GOOGLETRANSLATE(C476,""en"",""hr"")"),"Opružni vijak")</f>
        <v>Opružni vijak</v>
      </c>
      <c r="D1776" s="28" t="s">
        <v>11</v>
      </c>
      <c r="E1776" s="29">
        <v>1</v>
      </c>
      <c r="F1776" s="17"/>
    </row>
    <row r="1777" spans="1:9" ht="25.5" customHeight="1" x14ac:dyDescent="0.2">
      <c r="A1777" s="27">
        <v>1775</v>
      </c>
      <c r="B1777" s="29" t="s">
        <v>1479</v>
      </c>
      <c r="C1777" s="29" t="str">
        <f ca="1">IFERROR(__xludf.DUMMYFUNCTION("GOOGLETRANSLATE(C4966,""en"",""hr"")"),"Plinski cilindar")</f>
        <v>Plinski cilindar</v>
      </c>
      <c r="D1777" s="28" t="s">
        <v>11</v>
      </c>
      <c r="E1777" s="29">
        <v>1</v>
      </c>
      <c r="F1777" s="17"/>
    </row>
    <row r="1778" spans="1:9" ht="25.5" customHeight="1" x14ac:dyDescent="0.2">
      <c r="A1778" s="27">
        <v>1776</v>
      </c>
      <c r="B1778" s="29" t="s">
        <v>1480</v>
      </c>
      <c r="C1778" s="29" t="str">
        <f ca="1">IFERROR(__xludf.DUMMYFUNCTION("GOOGLETRANSLATE(C4967,""en"",""hr"")"),"Plinski cilindar")</f>
        <v>Plinski cilindar</v>
      </c>
      <c r="D1778" s="28" t="s">
        <v>11</v>
      </c>
      <c r="E1778" s="29">
        <v>1</v>
      </c>
      <c r="F1778" s="17"/>
    </row>
    <row r="1779" spans="1:9" ht="25.5" customHeight="1" x14ac:dyDescent="0.2">
      <c r="A1779" s="27">
        <v>1777</v>
      </c>
      <c r="B1779" s="29" t="s">
        <v>1451</v>
      </c>
      <c r="C1779" s="29" t="str">
        <f ca="1">IFERROR(__xludf.DUMMYFUNCTION("GOOGLETRANSLATE(C4737,""en"",""hr"")"),"Proljeće")</f>
        <v>Proljeće</v>
      </c>
      <c r="D1779" s="28" t="s">
        <v>11</v>
      </c>
      <c r="E1779" s="29">
        <v>1</v>
      </c>
      <c r="F1779" s="17"/>
      <c r="I1779" s="4" t="b">
        <f>INT(F1777*100)=(F1777*100)</f>
        <v>1</v>
      </c>
    </row>
    <row r="1780" spans="1:9" ht="25.5" customHeight="1" x14ac:dyDescent="0.2">
      <c r="A1780" s="27">
        <v>1778</v>
      </c>
      <c r="B1780" s="29" t="s">
        <v>1117</v>
      </c>
      <c r="C1780" s="29" t="str">
        <f ca="1">IFERROR(__xludf.DUMMYFUNCTION("GOOGLETRANSLATE(C3620,""en"",""hr"")"),"Napetost opruge")</f>
        <v>Napetost opruge</v>
      </c>
      <c r="D1780" s="28" t="s">
        <v>11</v>
      </c>
      <c r="E1780" s="29">
        <v>1</v>
      </c>
      <c r="F1780" s="17"/>
    </row>
    <row r="1781" spans="1:9" ht="25.5" customHeight="1" x14ac:dyDescent="0.2">
      <c r="A1781" s="27">
        <v>1779</v>
      </c>
      <c r="B1781" s="29" t="s">
        <v>1018</v>
      </c>
      <c r="C1781" s="29" t="str">
        <f ca="1">IFERROR(__xludf.DUMMYFUNCTION("GOOGLETRANSLATE(C3291,""en"",""hr"")"),"Napetost opruge")</f>
        <v>Napetost opruge</v>
      </c>
      <c r="D1781" s="28" t="s">
        <v>11</v>
      </c>
      <c r="E1781" s="29">
        <v>1</v>
      </c>
      <c r="F1781" s="17"/>
    </row>
    <row r="1782" spans="1:9" ht="25.5" customHeight="1" x14ac:dyDescent="0.2">
      <c r="A1782" s="27">
        <v>1780</v>
      </c>
      <c r="B1782" s="29" t="s">
        <v>1039</v>
      </c>
      <c r="C1782" s="29" t="str">
        <f ca="1">IFERROR(__xludf.DUMMYFUNCTION("GOOGLETRANSLATE(C3387,""en"",""hr"")"),"Napetost opruge")</f>
        <v>Napetost opruge</v>
      </c>
      <c r="D1782" s="28" t="s">
        <v>11</v>
      </c>
      <c r="E1782" s="29">
        <v>1</v>
      </c>
      <c r="F1782" s="17"/>
    </row>
    <row r="1783" spans="1:9" ht="25.5" customHeight="1" x14ac:dyDescent="0.2">
      <c r="A1783" s="27">
        <v>1781</v>
      </c>
      <c r="B1783" s="29" t="s">
        <v>1583</v>
      </c>
      <c r="C1783" s="29" t="str">
        <f ca="1">IFERROR(__xludf.DUMMYFUNCTION("GOOGLETRANSLATE(C5357,""en"",""hr"")"),"Napetost opruge")</f>
        <v>Napetost opruge</v>
      </c>
      <c r="D1783" s="28" t="s">
        <v>11</v>
      </c>
      <c r="E1783" s="29">
        <v>1</v>
      </c>
      <c r="F1783" s="17"/>
    </row>
    <row r="1784" spans="1:9" ht="25.5" customHeight="1" x14ac:dyDescent="0.2">
      <c r="A1784" s="27">
        <v>1782</v>
      </c>
      <c r="B1784" s="29" t="s">
        <v>274</v>
      </c>
      <c r="C1784" s="29" t="str">
        <f ca="1">IFERROR(__xludf.DUMMYFUNCTION("GOOGLETRANSLATE(C605,""en"",""hr"")"),"Vijak")</f>
        <v>Vijak</v>
      </c>
      <c r="D1784" s="28" t="s">
        <v>11</v>
      </c>
      <c r="E1784" s="29">
        <v>1</v>
      </c>
      <c r="F1784" s="17"/>
    </row>
    <row r="1785" spans="1:9" ht="25.5" customHeight="1" x14ac:dyDescent="0.2">
      <c r="A1785" s="27">
        <v>1783</v>
      </c>
      <c r="B1785" s="29" t="s">
        <v>1442</v>
      </c>
      <c r="C1785" s="29" t="str">
        <f ca="1">IFERROR(__xludf.DUMMYFUNCTION("GOOGLETRANSLATE(C4706,""en"",""hr"")"),"Ručka međuspremnik gumba")</f>
        <v>Ručka međuspremnik gumba</v>
      </c>
      <c r="D1785" s="28" t="s">
        <v>11</v>
      </c>
      <c r="E1785" s="29">
        <v>1</v>
      </c>
      <c r="F1785" s="17"/>
    </row>
    <row r="1786" spans="1:9" ht="25.5" customHeight="1" x14ac:dyDescent="0.2">
      <c r="A1786" s="27">
        <v>1784</v>
      </c>
      <c r="B1786" s="29" t="s">
        <v>1381</v>
      </c>
      <c r="C1786" s="29" t="str">
        <f ca="1">IFERROR(__xludf.DUMMYFUNCTION("GOOGLETRANSLATE(C4374,""en"",""hr"")"),"Brtva po metru")</f>
        <v>Brtva po metru</v>
      </c>
      <c r="D1786" s="28" t="s">
        <v>11</v>
      </c>
      <c r="E1786" s="29">
        <v>1</v>
      </c>
      <c r="F1786" s="17"/>
    </row>
    <row r="1787" spans="1:9" ht="25.5" customHeight="1" x14ac:dyDescent="0.2">
      <c r="A1787" s="27">
        <v>1785</v>
      </c>
      <c r="B1787" s="29" t="s">
        <v>1397</v>
      </c>
      <c r="C1787" s="29" t="str">
        <f ca="1">IFERROR(__xludf.DUMMYFUNCTION("GOOGLETRANSLATE(C4481,""en"",""hr"")"),"Presjek zaštitnih rubova po metru")</f>
        <v>Presjek zaštitnih rubova po metru</v>
      </c>
      <c r="D1787" s="28" t="s">
        <v>11</v>
      </c>
      <c r="E1787" s="29">
        <v>1</v>
      </c>
      <c r="F1787" s="17"/>
    </row>
    <row r="1788" spans="1:9" ht="25.5" customHeight="1" x14ac:dyDescent="0.2">
      <c r="A1788" s="27">
        <v>1786</v>
      </c>
      <c r="B1788" s="29" t="s">
        <v>1484</v>
      </c>
      <c r="C1788" s="29" t="str">
        <f ca="1">IFERROR(__xludf.DUMMYFUNCTION("GOOGLETRANSLATE(C4972,""en"",""hr"")"),"Zaštitni ugljen")</f>
        <v>Zaštitni ugljen</v>
      </c>
      <c r="D1788" s="28" t="s">
        <v>11</v>
      </c>
      <c r="E1788" s="29">
        <v>1</v>
      </c>
      <c r="F1788" s="17"/>
    </row>
    <row r="1789" spans="1:9" ht="25.5" customHeight="1" x14ac:dyDescent="0.2">
      <c r="A1789" s="27">
        <v>1787</v>
      </c>
      <c r="B1789" s="29" t="s">
        <v>987</v>
      </c>
      <c r="C1789" s="29" t="str">
        <f ca="1">IFERROR(__xludf.DUMMYFUNCTION("GOOGLETRANSLATE(C3149,""en"",""hr"")"),"Zaštitni ugljen")</f>
        <v>Zaštitni ugljen</v>
      </c>
      <c r="D1789" s="28" t="s">
        <v>11</v>
      </c>
      <c r="E1789" s="29">
        <v>1</v>
      </c>
      <c r="F1789" s="17"/>
    </row>
    <row r="1790" spans="1:9" ht="25.5" customHeight="1" x14ac:dyDescent="0.2">
      <c r="A1790" s="27">
        <v>1788</v>
      </c>
      <c r="B1790" s="29" t="s">
        <v>1841</v>
      </c>
      <c r="C1790" s="29" t="str">
        <f ca="1">IFERROR(__xludf.DUMMYFUNCTION("GOOGLETRANSLATE(C6440,""en"",""hr"")"),"Brtva po metru")</f>
        <v>Brtva po metru</v>
      </c>
      <c r="D1790" s="28" t="s">
        <v>11</v>
      </c>
      <c r="E1790" s="29">
        <v>1</v>
      </c>
      <c r="F1790" s="17"/>
    </row>
    <row r="1791" spans="1:9" ht="25.5" customHeight="1" x14ac:dyDescent="0.2">
      <c r="A1791" s="27">
        <v>1789</v>
      </c>
      <c r="B1791" s="29" t="s">
        <v>186</v>
      </c>
      <c r="C1791" s="29" t="str">
        <f ca="1">IFERROR(__xludf.DUMMYFUNCTION("GOOGLETRANSLATE(C376,""en"",""hr"")"),"Presjek zaštitnih rubova po metru")</f>
        <v>Presjek zaštitnih rubova po metru</v>
      </c>
      <c r="D1791" s="28" t="s">
        <v>11</v>
      </c>
      <c r="E1791" s="29">
        <v>1</v>
      </c>
      <c r="F1791" s="17"/>
    </row>
    <row r="1792" spans="1:9" ht="25.5" customHeight="1" x14ac:dyDescent="0.2">
      <c r="A1792" s="27">
        <v>1790</v>
      </c>
      <c r="B1792" s="29" t="s">
        <v>1508</v>
      </c>
      <c r="C1792" s="29" t="str">
        <f ca="1">IFERROR(__xludf.DUMMYFUNCTION("GOOGLETRANSLATE(C5073,""en"",""hr"")"),"Profil")</f>
        <v>Profil</v>
      </c>
      <c r="D1792" s="28" t="s">
        <v>11</v>
      </c>
      <c r="E1792" s="29">
        <v>1</v>
      </c>
      <c r="F1792" s="17"/>
    </row>
    <row r="1793" spans="1:9" ht="25.5" customHeight="1" x14ac:dyDescent="0.2">
      <c r="A1793" s="27">
        <v>1791</v>
      </c>
      <c r="B1793" s="29" t="s">
        <v>1498</v>
      </c>
      <c r="C1793" s="29" t="str">
        <f ca="1">IFERROR(__xludf.DUMMYFUNCTION("GOOGLETRANSLATE(C5042,""en"",""hr"")"),"Profil")</f>
        <v>Profil</v>
      </c>
      <c r="D1793" s="28" t="s">
        <v>11</v>
      </c>
      <c r="E1793" s="29">
        <v>1</v>
      </c>
      <c r="F1793" s="17"/>
    </row>
    <row r="1794" spans="1:9" ht="25.5" customHeight="1" x14ac:dyDescent="0.2">
      <c r="A1794" s="27">
        <v>1792</v>
      </c>
      <c r="B1794" s="29" t="s">
        <v>1497</v>
      </c>
      <c r="C1794" s="29" t="str">
        <f ca="1">IFERROR(__xludf.DUMMYFUNCTION("GOOGLETRANSLATE(C5041,""en"",""hr"")"),"Profil")</f>
        <v>Profil</v>
      </c>
      <c r="D1794" s="28" t="s">
        <v>11</v>
      </c>
      <c r="E1794" s="29">
        <v>1</v>
      </c>
      <c r="F1794" s="17"/>
    </row>
    <row r="1795" spans="1:9" ht="25.5" customHeight="1" x14ac:dyDescent="0.2">
      <c r="A1795" s="27">
        <v>1793</v>
      </c>
      <c r="B1795" s="29" t="s">
        <v>338</v>
      </c>
      <c r="C1795" s="29" t="str">
        <f ca="1">IFERROR(__xludf.DUMMYFUNCTION("GOOGLETRANSLATE(C760,""en"",""hr"")"),"O-prsten")</f>
        <v>O-prsten</v>
      </c>
      <c r="D1795" s="28" t="s">
        <v>11</v>
      </c>
      <c r="E1795" s="29">
        <v>1</v>
      </c>
      <c r="F1795" s="17"/>
    </row>
    <row r="1796" spans="1:9" ht="25.5" customHeight="1" x14ac:dyDescent="0.2">
      <c r="A1796" s="27">
        <v>1794</v>
      </c>
      <c r="B1796" s="29" t="s">
        <v>1268</v>
      </c>
      <c r="C1796" s="29" t="str">
        <f ca="1">IFERROR(__xludf.DUMMYFUNCTION("GOOGLETRANSLATE(C4000,""en"",""hr"")"),"O-prsten")</f>
        <v>O-prsten</v>
      </c>
      <c r="D1796" s="28" t="s">
        <v>11</v>
      </c>
      <c r="E1796" s="29">
        <v>1</v>
      </c>
      <c r="F1796" s="17"/>
    </row>
    <row r="1797" spans="1:9" ht="25.5" customHeight="1" x14ac:dyDescent="0.2">
      <c r="A1797" s="27">
        <v>1795</v>
      </c>
      <c r="B1797" s="29" t="s">
        <v>1677</v>
      </c>
      <c r="C1797" s="29" t="str">
        <f ca="1">IFERROR(__xludf.DUMMYFUNCTION("GOOGLETRANSLATE(C5793,""en"",""hr"")"),"O-prsten")</f>
        <v>O-prsten</v>
      </c>
      <c r="D1797" s="28" t="s">
        <v>11</v>
      </c>
      <c r="E1797" s="29">
        <v>1</v>
      </c>
      <c r="F1797" s="17"/>
      <c r="I1797" s="4" t="b">
        <f>INT(F1795*100)=(F1795*100)</f>
        <v>1</v>
      </c>
    </row>
    <row r="1798" spans="1:9" ht="25.5" customHeight="1" x14ac:dyDescent="0.2">
      <c r="A1798" s="27">
        <v>1796</v>
      </c>
      <c r="B1798" s="29" t="s">
        <v>844</v>
      </c>
      <c r="C1798" s="29" t="str">
        <f ca="1">IFERROR(__xludf.DUMMYFUNCTION("GOOGLETRANSLATE(C2507,""en"",""hr"")"),"O-prsten")</f>
        <v>O-prsten</v>
      </c>
      <c r="D1798" s="28" t="s">
        <v>11</v>
      </c>
      <c r="E1798" s="29">
        <v>1</v>
      </c>
      <c r="F1798" s="17"/>
    </row>
    <row r="1799" spans="1:9" ht="25.5" customHeight="1" x14ac:dyDescent="0.2">
      <c r="A1799" s="27">
        <v>1797</v>
      </c>
      <c r="B1799" s="29" t="s">
        <v>638</v>
      </c>
      <c r="C1799" s="29" t="str">
        <f ca="1">IFERROR(__xludf.DUMMYFUNCTION("GOOGLETRANSLATE(C1966,""en"",""hr"")"),"mijehovi")</f>
        <v>mijehovi</v>
      </c>
      <c r="D1799" s="28" t="s">
        <v>11</v>
      </c>
      <c r="E1799" s="29">
        <v>1</v>
      </c>
      <c r="F1799" s="17"/>
    </row>
    <row r="1800" spans="1:9" ht="25.5" customHeight="1" x14ac:dyDescent="0.2">
      <c r="A1800" s="27">
        <v>1798</v>
      </c>
      <c r="B1800" s="29" t="s">
        <v>1113</v>
      </c>
      <c r="C1800" s="29" t="str">
        <f ca="1">IFERROR(__xludf.DUMMYFUNCTION("GOOGLETRANSLATE(C3600,""en"",""hr"")"),"O-prsten")</f>
        <v>O-prsten</v>
      </c>
      <c r="D1800" s="28" t="s">
        <v>11</v>
      </c>
      <c r="E1800" s="29">
        <v>1</v>
      </c>
      <c r="F1800" s="17"/>
      <c r="I1800" s="4" t="b">
        <f>INT(F1798*100)=(F1798*100)</f>
        <v>1</v>
      </c>
    </row>
    <row r="1801" spans="1:9" ht="25.5" customHeight="1" x14ac:dyDescent="0.2">
      <c r="A1801" s="27">
        <v>1799</v>
      </c>
      <c r="B1801" s="29" t="s">
        <v>27</v>
      </c>
      <c r="C1801" s="29" t="str">
        <f ca="1">IFERROR(__xludf.DUMMYFUNCTION("GOOGLETRANSLATE(C28,""en"",""hr"")"),"O-prsten NBR")</f>
        <v>O-prsten NBR</v>
      </c>
      <c r="D1801" s="28" t="s">
        <v>11</v>
      </c>
      <c r="E1801" s="29">
        <v>1</v>
      </c>
      <c r="F1801" s="17"/>
    </row>
    <row r="1802" spans="1:9" ht="25.5" customHeight="1" x14ac:dyDescent="0.2">
      <c r="A1802" s="27">
        <v>1800</v>
      </c>
      <c r="B1802" s="29" t="s">
        <v>44</v>
      </c>
      <c r="C1802" s="29" t="str">
        <f ca="1">IFERROR(__xludf.DUMMYFUNCTION("GOOGLETRANSLATE(C72,""en"",""hr"")"),"Gume 215/75 R16, oniks")</f>
        <v>Gume 215/75 R16, oniks</v>
      </c>
      <c r="D1802" s="28" t="s">
        <v>11</v>
      </c>
      <c r="E1802" s="29">
        <v>1</v>
      </c>
      <c r="F1802" s="17"/>
    </row>
    <row r="1803" spans="1:9" ht="25.5" customHeight="1" x14ac:dyDescent="0.2">
      <c r="A1803" s="27">
        <v>1801</v>
      </c>
      <c r="B1803" s="29" t="s">
        <v>177</v>
      </c>
      <c r="C1803" s="29" t="str">
        <f ca="1">IFERROR(__xludf.DUMMYFUNCTION("GOOGLETRANSLATE(C349,""en"",""hr"")"),"Guma 215/75 R16, Kenda")</f>
        <v>Guma 215/75 R16, Kenda</v>
      </c>
      <c r="D1803" s="28" t="s">
        <v>11</v>
      </c>
      <c r="E1803" s="29">
        <v>1</v>
      </c>
      <c r="F1803" s="17"/>
    </row>
    <row r="1804" spans="1:9" ht="25.5" customHeight="1" x14ac:dyDescent="0.2">
      <c r="A1804" s="27">
        <v>1802</v>
      </c>
      <c r="B1804" s="29" t="s">
        <v>188</v>
      </c>
      <c r="C1804" s="29" t="str">
        <f ca="1">IFERROR(__xludf.DUMMYFUNCTION("GOOGLETRANSLATE(C382,""en"",""hr"")"),"Gume 255/65 R16, Yokohama")</f>
        <v>Gume 255/65 R16, Yokohama</v>
      </c>
      <c r="D1804" s="28" t="s">
        <v>11</v>
      </c>
      <c r="E1804" s="29">
        <v>1</v>
      </c>
      <c r="F1804" s="17"/>
      <c r="I1804" s="4" t="b">
        <f>INT(F1802*100)=(F1802*100)</f>
        <v>1</v>
      </c>
    </row>
    <row r="1805" spans="1:9" ht="25.5" customHeight="1" x14ac:dyDescent="0.2">
      <c r="A1805" s="27">
        <v>1803</v>
      </c>
      <c r="B1805" s="29" t="s">
        <v>45</v>
      </c>
      <c r="C1805" s="29" t="str">
        <f ca="1">IFERROR(__xludf.DUMMYFUNCTION("GOOGLETRANSLATE(C73,""en"",""hr"")"),"Ventil")</f>
        <v>Ventil</v>
      </c>
      <c r="D1805" s="28" t="s">
        <v>11</v>
      </c>
      <c r="E1805" s="29">
        <v>1</v>
      </c>
      <c r="F1805" s="17"/>
    </row>
    <row r="1806" spans="1:9" ht="25.5" customHeight="1" x14ac:dyDescent="0.2">
      <c r="A1806" s="27">
        <v>1804</v>
      </c>
      <c r="B1806" s="29" t="s">
        <v>189</v>
      </c>
      <c r="C1806" s="29" t="str">
        <f ca="1">IFERROR(__xludf.DUMMYFUNCTION("GOOGLETRANSLATE(C383,""en"",""hr"")"),"Ventil")</f>
        <v>Ventil</v>
      </c>
      <c r="D1806" s="28" t="s">
        <v>11</v>
      </c>
      <c r="E1806" s="29">
        <v>1</v>
      </c>
      <c r="F1806" s="17"/>
    </row>
    <row r="1807" spans="1:9" ht="25.5" customHeight="1" x14ac:dyDescent="0.2">
      <c r="A1807" s="27">
        <v>1805</v>
      </c>
      <c r="B1807" s="29" t="s">
        <v>669</v>
      </c>
      <c r="C1807" s="29" t="str">
        <f ca="1">IFERROR(__xludf.DUMMYFUNCTION("GOOGLETRANSLATE(C2104,""en"",""hr"")"),"Čahura")</f>
        <v>Čahura</v>
      </c>
      <c r="D1807" s="28" t="s">
        <v>11</v>
      </c>
      <c r="E1807" s="29">
        <v>1</v>
      </c>
      <c r="F1807" s="17"/>
    </row>
    <row r="1808" spans="1:9" ht="25.5" customHeight="1" x14ac:dyDescent="0.2">
      <c r="A1808" s="27">
        <v>1806</v>
      </c>
      <c r="B1808" s="29" t="s">
        <v>1341</v>
      </c>
      <c r="C1808" s="29" t="str">
        <f ca="1">IFERROR(__xludf.DUMMYFUNCTION("GOOGLETRANSLATE(C4222,""en"",""hr"")"),"Frikcijski ležaj")</f>
        <v>Frikcijski ležaj</v>
      </c>
      <c r="D1808" s="28" t="s">
        <v>11</v>
      </c>
      <c r="E1808" s="29">
        <v>1</v>
      </c>
      <c r="F1808" s="17"/>
    </row>
    <row r="1809" spans="1:9" ht="25.5" customHeight="1" x14ac:dyDescent="0.2">
      <c r="A1809" s="27">
        <v>1807</v>
      </c>
      <c r="B1809" s="29" t="s">
        <v>666</v>
      </c>
      <c r="C1809" s="29" t="str">
        <f ca="1">IFERROR(__xludf.DUMMYFUNCTION("GOOGLETRANSLATE(C2093,""en"",""hr"")"),"Čahura")</f>
        <v>Čahura</v>
      </c>
      <c r="D1809" s="28" t="s">
        <v>11</v>
      </c>
      <c r="E1809" s="29">
        <v>1</v>
      </c>
      <c r="F1809" s="17"/>
    </row>
    <row r="1810" spans="1:9" ht="25.5" customHeight="1" x14ac:dyDescent="0.2">
      <c r="A1810" s="27">
        <v>1808</v>
      </c>
      <c r="B1810" s="29" t="s">
        <v>859</v>
      </c>
      <c r="C1810" s="29" t="str">
        <f ca="1">IFERROR(__xludf.DUMMYFUNCTION("GOOGLETRANSLATE(C2532,""en"",""hr"")"),"Stezna čahura")</f>
        <v>Stezna čahura</v>
      </c>
      <c r="D1810" s="28" t="s">
        <v>11</v>
      </c>
      <c r="E1810" s="29">
        <v>1</v>
      </c>
      <c r="F1810" s="17"/>
    </row>
    <row r="1811" spans="1:9" ht="25.5" customHeight="1" x14ac:dyDescent="0.2">
      <c r="A1811" s="27">
        <v>1809</v>
      </c>
      <c r="B1811" s="29" t="s">
        <v>900</v>
      </c>
      <c r="C1811" s="29" t="str">
        <f ca="1">IFERROR(__xludf.DUMMYFUNCTION("GOOGLETRANSLATE(C2659,""en"",""hr"")"),"Čahura")</f>
        <v>Čahura</v>
      </c>
      <c r="D1811" s="28" t="s">
        <v>11</v>
      </c>
      <c r="E1811" s="29">
        <v>1</v>
      </c>
      <c r="F1811" s="17"/>
    </row>
    <row r="1812" spans="1:9" ht="25.5" customHeight="1" x14ac:dyDescent="0.2">
      <c r="A1812" s="27">
        <v>1810</v>
      </c>
      <c r="B1812" s="29" t="s">
        <v>1342</v>
      </c>
      <c r="C1812" s="29" t="str">
        <f ca="1">IFERROR(__xludf.DUMMYFUNCTION("GOOGLETRANSLATE(C4228,""en"",""hr"")"),"Čahura")</f>
        <v>Čahura</v>
      </c>
      <c r="D1812" s="28" t="s">
        <v>11</v>
      </c>
      <c r="E1812" s="29">
        <v>1</v>
      </c>
      <c r="F1812" s="17"/>
    </row>
    <row r="1813" spans="1:9" ht="25.5" customHeight="1" x14ac:dyDescent="0.2">
      <c r="A1813" s="27">
        <v>1811</v>
      </c>
      <c r="B1813" s="29" t="s">
        <v>1013</v>
      </c>
      <c r="C1813" s="29" t="str">
        <f ca="1">IFERROR(__xludf.DUMMYFUNCTION("GOOGLETRANSLATE(C3284,""en"",""hr"")"),"Frikcijski ležaj")</f>
        <v>Frikcijski ležaj</v>
      </c>
      <c r="D1813" s="28" t="s">
        <v>11</v>
      </c>
      <c r="E1813" s="29">
        <v>1</v>
      </c>
      <c r="F1813" s="17"/>
    </row>
    <row r="1814" spans="1:9" ht="25.5" customHeight="1" x14ac:dyDescent="0.2">
      <c r="A1814" s="27">
        <v>1812</v>
      </c>
      <c r="B1814" s="29" t="s">
        <v>1041</v>
      </c>
      <c r="C1814" s="29" t="str">
        <f ca="1">IFERROR(__xludf.DUMMYFUNCTION("GOOGLETRANSLATE(C3412,""en"",""hr"")"),"Prirubnički ležaj")</f>
        <v>Prirubnički ležaj</v>
      </c>
      <c r="D1814" s="28" t="s">
        <v>11</v>
      </c>
      <c r="E1814" s="29">
        <v>1</v>
      </c>
      <c r="F1814" s="17"/>
    </row>
    <row r="1815" spans="1:9" ht="25.5" customHeight="1" x14ac:dyDescent="0.2">
      <c r="A1815" s="27">
        <v>1813</v>
      </c>
      <c r="B1815" s="29" t="s">
        <v>1494</v>
      </c>
      <c r="C1815" s="29" t="str">
        <f ca="1">IFERROR(__xludf.DUMMYFUNCTION("GOOGLETRANSLATE(C5021,""en"",""hr"")"),"Frikcijski ležaj")</f>
        <v>Frikcijski ležaj</v>
      </c>
      <c r="D1815" s="28" t="s">
        <v>11</v>
      </c>
      <c r="E1815" s="29">
        <v>1</v>
      </c>
      <c r="F1815" s="17"/>
    </row>
    <row r="1816" spans="1:9" ht="25.5" customHeight="1" x14ac:dyDescent="0.2">
      <c r="A1816" s="27">
        <v>1814</v>
      </c>
      <c r="B1816" s="29" t="s">
        <v>1502</v>
      </c>
      <c r="C1816" s="29" t="str">
        <f ca="1">IFERROR(__xludf.DUMMYFUNCTION("GOOGLETRANSLATE(C5050,""en"",""hr"")"),"Frikcijski ležaj")</f>
        <v>Frikcijski ležaj</v>
      </c>
      <c r="D1816" s="28" t="s">
        <v>11</v>
      </c>
      <c r="E1816" s="29">
        <v>1</v>
      </c>
      <c r="F1816" s="17"/>
    </row>
    <row r="1817" spans="1:9" ht="25.5" customHeight="1" x14ac:dyDescent="0.2">
      <c r="A1817" s="27">
        <v>1815</v>
      </c>
      <c r="B1817" s="29" t="s">
        <v>939</v>
      </c>
      <c r="C1817" s="29" t="str">
        <f ca="1">IFERROR(__xludf.DUMMYFUNCTION("GOOGLETRANSLATE(C2857,""en"",""hr"")"),"Čahura")</f>
        <v>Čahura</v>
      </c>
      <c r="D1817" s="28" t="s">
        <v>11</v>
      </c>
      <c r="E1817" s="29">
        <v>1</v>
      </c>
      <c r="F1817" s="17"/>
    </row>
    <row r="1818" spans="1:9" ht="25.5" customHeight="1" x14ac:dyDescent="0.2">
      <c r="A1818" s="27">
        <v>1816</v>
      </c>
      <c r="B1818" s="29" t="s">
        <v>839</v>
      </c>
      <c r="C1818" s="29" t="str">
        <f ca="1">IFERROR(__xludf.DUMMYFUNCTION("GOOGLETRANSLATE(C2502,""en"",""hr"")"),"Čahura")</f>
        <v>Čahura</v>
      </c>
      <c r="D1818" s="28" t="s">
        <v>11</v>
      </c>
      <c r="E1818" s="29">
        <v>1</v>
      </c>
      <c r="F1818" s="17"/>
    </row>
    <row r="1819" spans="1:9" ht="25.5" customHeight="1" x14ac:dyDescent="0.2">
      <c r="A1819" s="27">
        <v>1817</v>
      </c>
      <c r="B1819" s="29" t="s">
        <v>1582</v>
      </c>
      <c r="C1819" s="29" t="str">
        <f ca="1">IFERROR(__xludf.DUMMYFUNCTION("GOOGLETRANSLATE(C5353,""en"",""hr"")"),"Ležaj postolja")</f>
        <v>Ležaj postolja</v>
      </c>
      <c r="D1819" s="28" t="s">
        <v>11</v>
      </c>
      <c r="E1819" s="29">
        <v>1</v>
      </c>
      <c r="F1819" s="17"/>
    </row>
    <row r="1820" spans="1:9" ht="25.5" customHeight="1" x14ac:dyDescent="0.2">
      <c r="A1820" s="27">
        <v>1818</v>
      </c>
      <c r="B1820" s="29" t="s">
        <v>384</v>
      </c>
      <c r="C1820" s="29" t="str">
        <f ca="1">IFERROR(__xludf.DUMMYFUNCTION("GOOGLETRANSLATE(C886,""en"",""hr"")"),"Podmazivač")</f>
        <v>Podmazivač</v>
      </c>
      <c r="D1820" s="28" t="s">
        <v>11</v>
      </c>
      <c r="E1820" s="29">
        <v>1</v>
      </c>
      <c r="F1820" s="17"/>
    </row>
    <row r="1821" spans="1:9" ht="25.5" customHeight="1" x14ac:dyDescent="0.2">
      <c r="A1821" s="27">
        <v>1819</v>
      </c>
      <c r="B1821" s="29" t="s">
        <v>305</v>
      </c>
      <c r="C1821" s="29" t="str">
        <f ca="1">IFERROR(__xludf.DUMMYFUNCTION("GOOGLETRANSLATE(C674,""en"",""hr"")"),"Podmazivač")</f>
        <v>Podmazivač</v>
      </c>
      <c r="D1821" s="28" t="s">
        <v>11</v>
      </c>
      <c r="E1821" s="29">
        <v>1</v>
      </c>
      <c r="F1821" s="17"/>
    </row>
    <row r="1822" spans="1:9" ht="25.5" customHeight="1" x14ac:dyDescent="0.2">
      <c r="A1822" s="27">
        <v>1820</v>
      </c>
      <c r="B1822" s="29" t="s">
        <v>846</v>
      </c>
      <c r="C1822" s="29" t="str">
        <f ca="1">IFERROR(__xludf.DUMMYFUNCTION("GOOGLETRANSLATE(C2509,""en"",""hr"")"),"Podmazivač")</f>
        <v>Podmazivač</v>
      </c>
      <c r="D1822" s="28" t="s">
        <v>11</v>
      </c>
      <c r="E1822" s="29">
        <v>1</v>
      </c>
      <c r="F1822" s="17"/>
    </row>
    <row r="1823" spans="1:9" ht="25.5" customHeight="1" x14ac:dyDescent="0.2">
      <c r="A1823" s="27">
        <v>1821</v>
      </c>
      <c r="B1823" s="29" t="s">
        <v>223</v>
      </c>
      <c r="C1823" s="29" t="str">
        <f ca="1">IFERROR(__xludf.DUMMYFUNCTION("GOOGLETRANSLATE(C473,""en"",""hr"")"),"Podmazivač")</f>
        <v>Podmazivač</v>
      </c>
      <c r="D1823" s="28" t="s">
        <v>11</v>
      </c>
      <c r="E1823" s="29">
        <v>1</v>
      </c>
      <c r="F1823" s="17"/>
      <c r="I1823" s="4" t="b">
        <f>INT(F1821*100)=(F1821*100)</f>
        <v>1</v>
      </c>
    </row>
    <row r="1824" spans="1:9" ht="25.5" customHeight="1" x14ac:dyDescent="0.2">
      <c r="A1824" s="27">
        <v>1822</v>
      </c>
      <c r="B1824" s="29" t="s">
        <v>794</v>
      </c>
      <c r="C1824" s="29" t="str">
        <f ca="1">IFERROR(__xludf.DUMMYFUNCTION("GOOGLETRANSLATE(C2424,""en"",""hr"")"),"Podmazivač")</f>
        <v>Podmazivač</v>
      </c>
      <c r="D1824" s="28" t="s">
        <v>11</v>
      </c>
      <c r="E1824" s="29">
        <v>1</v>
      </c>
      <c r="F1824" s="17"/>
    </row>
    <row r="1825" spans="1:9" ht="25.5" customHeight="1" x14ac:dyDescent="0.2">
      <c r="A1825" s="27">
        <v>1823</v>
      </c>
      <c r="B1825" s="29" t="s">
        <v>780</v>
      </c>
      <c r="C1825" s="29" t="str">
        <f ca="1">IFERROR(__xludf.DUMMYFUNCTION("GOOGLETRANSLATE(C2409,""en"",""hr"")"),"Podmazivač")</f>
        <v>Podmazivač</v>
      </c>
      <c r="D1825" s="28" t="s">
        <v>11</v>
      </c>
      <c r="E1825" s="29">
        <v>1</v>
      </c>
      <c r="F1825" s="17"/>
    </row>
    <row r="1826" spans="1:9" ht="25.5" customHeight="1" x14ac:dyDescent="0.2">
      <c r="A1826" s="27">
        <v>1824</v>
      </c>
      <c r="B1826" s="29" t="s">
        <v>352</v>
      </c>
      <c r="C1826" s="29" t="str">
        <f ca="1">IFERROR(__xludf.DUMMYFUNCTION("GOOGLETRANSLATE(C806,""en"",""hr"")"),"Distributer")</f>
        <v>Distributer</v>
      </c>
      <c r="D1826" s="28" t="s">
        <v>11</v>
      </c>
      <c r="E1826" s="29">
        <v>1</v>
      </c>
      <c r="F1826" s="17"/>
      <c r="I1826" s="4" t="b">
        <f>INT(F1824*100)=(F1824*100)</f>
        <v>1</v>
      </c>
    </row>
    <row r="1827" spans="1:9" ht="25.5" customHeight="1" x14ac:dyDescent="0.2">
      <c r="A1827" s="27">
        <v>1825</v>
      </c>
      <c r="B1827" s="29" t="s">
        <v>28</v>
      </c>
      <c r="C1827" s="29" t="str">
        <f ca="1">IFERROR(__xludf.DUMMYFUNCTION("GOOGLETRANSLATE(C34,""en"",""hr"")"),"Vidno staklo")</f>
        <v>Vidno staklo</v>
      </c>
      <c r="D1827" s="28" t="s">
        <v>11</v>
      </c>
      <c r="E1827" s="29">
        <v>1</v>
      </c>
      <c r="F1827" s="17"/>
    </row>
    <row r="1828" spans="1:9" ht="25.5" customHeight="1" x14ac:dyDescent="0.2">
      <c r="A1828" s="27">
        <v>1826</v>
      </c>
      <c r="B1828" s="29" t="s">
        <v>1053</v>
      </c>
      <c r="C1828" s="29" t="str">
        <f ca="1">IFERROR(__xludf.DUMMYFUNCTION("GOOGLETRANSLATE(C3438,""en"",""hr"")"),"Sigurnosna matica")</f>
        <v>Sigurnosna matica</v>
      </c>
      <c r="D1828" s="28" t="s">
        <v>11</v>
      </c>
      <c r="E1828" s="29">
        <v>1</v>
      </c>
      <c r="F1828" s="17"/>
    </row>
    <row r="1829" spans="1:9" ht="25.5" customHeight="1" x14ac:dyDescent="0.2">
      <c r="A1829" s="27">
        <v>1827</v>
      </c>
      <c r="B1829" s="29" t="s">
        <v>769</v>
      </c>
      <c r="C1829" s="29" t="str">
        <f ca="1">IFERROR(__xludf.DUMMYFUNCTION("GOOGLETRANSLATE(C2389,""en"",""hr"")"),"Orah")</f>
        <v>Orah</v>
      </c>
      <c r="D1829" s="28" t="s">
        <v>11</v>
      </c>
      <c r="E1829" s="29">
        <v>1</v>
      </c>
      <c r="F1829" s="17"/>
    </row>
    <row r="1830" spans="1:9" ht="25.5" customHeight="1" x14ac:dyDescent="0.2">
      <c r="A1830" s="27">
        <v>1828</v>
      </c>
      <c r="B1830" s="29" t="s">
        <v>683</v>
      </c>
      <c r="C1830" s="29" t="str">
        <f ca="1">IFERROR(__xludf.DUMMYFUNCTION("GOOGLETRANSLATE(C2139,""en"",""hr"")"),"Poklopna matica")</f>
        <v>Poklopna matica</v>
      </c>
      <c r="D1830" s="28" t="s">
        <v>11</v>
      </c>
      <c r="E1830" s="29">
        <v>1</v>
      </c>
      <c r="F1830" s="17"/>
      <c r="I1830" s="4" t="b">
        <f>INT(F1828*100)=(F1828*100)</f>
        <v>1</v>
      </c>
    </row>
    <row r="1831" spans="1:9" ht="25.5" customHeight="1" x14ac:dyDescent="0.2">
      <c r="A1831" s="27">
        <v>1829</v>
      </c>
      <c r="B1831" s="29" t="s">
        <v>1407</v>
      </c>
      <c r="C1831" s="29" t="str">
        <f ca="1">IFERROR(__xludf.DUMMYFUNCTION("GOOGLETRANSLATE(C4562,""en"",""hr"")"),"Sigurnosna matica")</f>
        <v>Sigurnosna matica</v>
      </c>
      <c r="D1831" s="28" t="s">
        <v>11</v>
      </c>
      <c r="E1831" s="29">
        <v>1</v>
      </c>
      <c r="F1831" s="17"/>
    </row>
    <row r="1832" spans="1:9" ht="25.5" customHeight="1" x14ac:dyDescent="0.2">
      <c r="A1832" s="27">
        <v>1830</v>
      </c>
      <c r="B1832" s="29" t="s">
        <v>235</v>
      </c>
      <c r="C1832" s="29" t="str">
        <f ca="1">IFERROR(__xludf.DUMMYFUNCTION("GOOGLETRANSLATE(C490,""en"",""hr"")"),"Opružna stezaljka")</f>
        <v>Opružna stezaljka</v>
      </c>
      <c r="D1832" s="28" t="s">
        <v>11</v>
      </c>
      <c r="E1832" s="29">
        <v>1</v>
      </c>
      <c r="F1832" s="17"/>
    </row>
    <row r="1833" spans="1:9" ht="25.5" customHeight="1" x14ac:dyDescent="0.2">
      <c r="A1833" s="27">
        <v>1831</v>
      </c>
      <c r="B1833" s="29" t="s">
        <v>222</v>
      </c>
      <c r="C1833" s="29" t="str">
        <f ca="1">IFERROR(__xludf.DUMMYFUNCTION("GOOGLETRANSLATE(C472,""en"",""hr"")"),"Gumeni valjak")</f>
        <v>Gumeni valjak</v>
      </c>
      <c r="D1833" s="28" t="s">
        <v>11</v>
      </c>
      <c r="E1833" s="29">
        <v>1</v>
      </c>
      <c r="F1833" s="17"/>
    </row>
    <row r="1834" spans="1:9" ht="25.5" customHeight="1" x14ac:dyDescent="0.2">
      <c r="A1834" s="27">
        <v>1832</v>
      </c>
      <c r="B1834" s="29" t="s">
        <v>1312</v>
      </c>
      <c r="C1834" s="29" t="str">
        <f ca="1">IFERROR(__xludf.DUMMYFUNCTION("GOOGLETRANSLATE(C4139,""en"",""hr"")"),"Veza")</f>
        <v>Veza</v>
      </c>
      <c r="D1834" s="28" t="s">
        <v>11</v>
      </c>
      <c r="E1834" s="29">
        <v>1</v>
      </c>
      <c r="F1834" s="17"/>
    </row>
    <row r="1835" spans="1:9" ht="25.5" customHeight="1" x14ac:dyDescent="0.2">
      <c r="A1835" s="27">
        <v>1833</v>
      </c>
      <c r="B1835" s="29" t="s">
        <v>1123</v>
      </c>
      <c r="C1835" s="29" t="str">
        <f ca="1">IFERROR(__xludf.DUMMYFUNCTION("GOOGLETRANSLATE(C3660,""en"",""hr"")"),"Križno pristajanje")</f>
        <v>Križno pristajanje</v>
      </c>
      <c r="D1835" s="28" t="s">
        <v>11</v>
      </c>
      <c r="E1835" s="29">
        <v>1</v>
      </c>
      <c r="F1835" s="17"/>
    </row>
    <row r="1836" spans="1:9" ht="25.5" customHeight="1" x14ac:dyDescent="0.2">
      <c r="A1836" s="27">
        <v>1834</v>
      </c>
      <c r="B1836" s="29" t="s">
        <v>382</v>
      </c>
      <c r="C1836" s="29" t="str">
        <f ca="1">IFERROR(__xludf.DUMMYFUNCTION("GOOGLETRANSLATE(C862,""en"",""hr"")"),"Zaštitna kapuljača")</f>
        <v>Zaštitna kapuljača</v>
      </c>
      <c r="D1836" s="28" t="s">
        <v>11</v>
      </c>
      <c r="E1836" s="29">
        <v>1</v>
      </c>
      <c r="F1836" s="17"/>
    </row>
    <row r="1837" spans="1:9" ht="25.5" customHeight="1" x14ac:dyDescent="0.2">
      <c r="A1837" s="27">
        <v>1835</v>
      </c>
      <c r="B1837" s="29" t="s">
        <v>1432</v>
      </c>
      <c r="C1837" s="29" t="str">
        <f ca="1">IFERROR(__xludf.DUMMYFUNCTION("GOOGLETRANSLATE(C4651,""en"",""hr"")"),"Zaštitna kapuljača")</f>
        <v>Zaštitna kapuljača</v>
      </c>
      <c r="D1837" s="28" t="s">
        <v>11</v>
      </c>
      <c r="E1837" s="29">
        <v>1</v>
      </c>
      <c r="F1837" s="17"/>
    </row>
    <row r="1838" spans="1:9" ht="25.5" customHeight="1" x14ac:dyDescent="0.2">
      <c r="A1838" s="27">
        <v>1836</v>
      </c>
      <c r="B1838" s="29" t="s">
        <v>1422</v>
      </c>
      <c r="C1838" s="29" t="str">
        <f ca="1">IFERROR(__xludf.DUMMYFUNCTION("GOOGLETRANSLATE(C4621,""en"",""hr"")"),"Zaštitna kapuljača")</f>
        <v>Zaštitna kapuljača</v>
      </c>
      <c r="D1838" s="28" t="s">
        <v>11</v>
      </c>
      <c r="E1838" s="29">
        <v>1</v>
      </c>
      <c r="F1838" s="17"/>
    </row>
    <row r="1839" spans="1:9" ht="25.5" customHeight="1" x14ac:dyDescent="0.2">
      <c r="A1839" s="27">
        <v>1837</v>
      </c>
      <c r="B1839" s="29" t="s">
        <v>342</v>
      </c>
      <c r="C1839" s="29" t="str">
        <f ca="1">IFERROR(__xludf.DUMMYFUNCTION("GOOGLETRANSLATE(C764,""en"",""hr"")"),"Veza")</f>
        <v>Veza</v>
      </c>
      <c r="D1839" s="28" t="s">
        <v>11</v>
      </c>
      <c r="E1839" s="29">
        <v>1</v>
      </c>
      <c r="F1839" s="17"/>
    </row>
    <row r="1840" spans="1:9" ht="25.5" customHeight="1" x14ac:dyDescent="0.2">
      <c r="A1840" s="27">
        <v>1838</v>
      </c>
      <c r="B1840" s="29" t="s">
        <v>1232</v>
      </c>
      <c r="C1840" s="29" t="str">
        <f ca="1">IFERROR(__xludf.DUMMYFUNCTION("GOOGLETRANSLATE(C3920,""en"",""hr"")"),"Priključak")</f>
        <v>Priključak</v>
      </c>
      <c r="D1840" s="28" t="s">
        <v>11</v>
      </c>
      <c r="E1840" s="29">
        <v>1</v>
      </c>
      <c r="F1840" s="17"/>
    </row>
    <row r="1841" spans="1:9" ht="25.5" customHeight="1" x14ac:dyDescent="0.2">
      <c r="A1841" s="27">
        <v>1839</v>
      </c>
      <c r="B1841" s="29" t="s">
        <v>1760</v>
      </c>
      <c r="C1841" s="29" t="str">
        <f ca="1">IFERROR(__xludf.DUMMYFUNCTION("GOOGLETRANSLATE(C6126,""en"",""hr"")"),"Fiche mâle")</f>
        <v>Fiche mâle</v>
      </c>
      <c r="D1841" s="28" t="s">
        <v>11</v>
      </c>
      <c r="E1841" s="29">
        <v>1</v>
      </c>
      <c r="F1841" s="17"/>
    </row>
    <row r="1842" spans="1:9" ht="25.5" customHeight="1" x14ac:dyDescent="0.2">
      <c r="A1842" s="27">
        <v>1840</v>
      </c>
      <c r="B1842" s="29" t="s">
        <v>1158</v>
      </c>
      <c r="C1842" s="29" t="str">
        <f ca="1">IFERROR(__xludf.DUMMYFUNCTION("GOOGLETRANSLATE(C3761,""en"",""hr"")"),"Vijčani spoj crijeva")</f>
        <v>Vijčani spoj crijeva</v>
      </c>
      <c r="D1842" s="28" t="s">
        <v>11</v>
      </c>
      <c r="E1842" s="29">
        <v>1</v>
      </c>
      <c r="F1842" s="17"/>
    </row>
    <row r="1843" spans="1:9" ht="25.5" customHeight="1" x14ac:dyDescent="0.2">
      <c r="A1843" s="27">
        <v>1841</v>
      </c>
      <c r="B1843" s="29" t="s">
        <v>570</v>
      </c>
      <c r="C1843" s="29" t="str">
        <f ca="1">IFERROR(__xludf.DUMMYFUNCTION("GOOGLETRANSLATE(C1586,""en"",""hr"")"),"Vijčani spoj crijeva")</f>
        <v>Vijčani spoj crijeva</v>
      </c>
      <c r="D1843" s="28" t="s">
        <v>11</v>
      </c>
      <c r="E1843" s="29">
        <v>1</v>
      </c>
      <c r="F1843" s="17"/>
    </row>
    <row r="1844" spans="1:9" ht="25.5" customHeight="1" x14ac:dyDescent="0.2">
      <c r="A1844" s="27">
        <v>1842</v>
      </c>
      <c r="B1844" s="29" t="s">
        <v>1320</v>
      </c>
      <c r="C1844" s="29" t="str">
        <f ca="1">IFERROR(__xludf.DUMMYFUNCTION("GOOGLETRANSLATE(C4157,""en"",""hr"")"),"Zavoj cijevi")</f>
        <v>Zavoj cijevi</v>
      </c>
      <c r="D1844" s="28" t="s">
        <v>11</v>
      </c>
      <c r="E1844" s="29">
        <v>1</v>
      </c>
      <c r="F1844" s="17"/>
    </row>
    <row r="1845" spans="1:9" ht="25.5" customHeight="1" x14ac:dyDescent="0.2">
      <c r="A1845" s="27">
        <v>1843</v>
      </c>
      <c r="B1845" s="29" t="s">
        <v>1336</v>
      </c>
      <c r="C1845" s="29" t="str">
        <f ca="1">IFERROR(__xludf.DUMMYFUNCTION("GOOGLETRANSLATE(C4203,""en"",""hr"")"),"Brza spojka")</f>
        <v>Brza spojka</v>
      </c>
      <c r="D1845" s="28" t="s">
        <v>11</v>
      </c>
      <c r="E1845" s="29">
        <v>1</v>
      </c>
      <c r="F1845" s="17"/>
    </row>
    <row r="1846" spans="1:9" ht="25.5" customHeight="1" x14ac:dyDescent="0.2">
      <c r="A1846" s="27">
        <v>1844</v>
      </c>
      <c r="B1846" s="29" t="s">
        <v>1212</v>
      </c>
      <c r="C1846" s="29" t="str">
        <f ca="1">IFERROR(__xludf.DUMMYFUNCTION("GOOGLETRANSLATE(C3838,""en"",""hr"")"),"Vijčani spoj crijeva")</f>
        <v>Vijčani spoj crijeva</v>
      </c>
      <c r="D1846" s="28" t="s">
        <v>11</v>
      </c>
      <c r="E1846" s="29">
        <v>1</v>
      </c>
      <c r="F1846" s="17"/>
    </row>
    <row r="1847" spans="1:9" ht="25.5" customHeight="1" x14ac:dyDescent="0.2">
      <c r="A1847" s="27">
        <v>1845</v>
      </c>
      <c r="B1847" s="29" t="s">
        <v>1335</v>
      </c>
      <c r="C1847" s="29" t="str">
        <f ca="1">IFERROR(__xludf.DUMMYFUNCTION("GOOGLETRANSLATE(C4202,""en"",""hr"")"),"Utikač za prikolicu")</f>
        <v>Utikač za prikolicu</v>
      </c>
      <c r="D1847" s="28" t="s">
        <v>11</v>
      </c>
      <c r="E1847" s="29">
        <v>1</v>
      </c>
      <c r="F1847" s="17"/>
    </row>
    <row r="1848" spans="1:9" ht="25.5" customHeight="1" x14ac:dyDescent="0.2">
      <c r="A1848" s="27">
        <v>1846</v>
      </c>
      <c r="B1848" s="29" t="s">
        <v>1323</v>
      </c>
      <c r="C1848" s="29" t="str">
        <f ca="1">IFERROR(__xludf.DUMMYFUNCTION("GOOGLETRANSLATE(C4161,""en"",""hr"")"),"Brza spojka")</f>
        <v>Brza spojka</v>
      </c>
      <c r="D1848" s="28" t="s">
        <v>11</v>
      </c>
      <c r="E1848" s="29">
        <v>1</v>
      </c>
      <c r="F1848" s="17"/>
      <c r="I1848" s="4" t="b">
        <f>INT(F1846*100)=(F1846*100)</f>
        <v>1</v>
      </c>
    </row>
    <row r="1849" spans="1:9" ht="25.5" customHeight="1" x14ac:dyDescent="0.2">
      <c r="A1849" s="27">
        <v>1847</v>
      </c>
      <c r="B1849" s="29" t="s">
        <v>1319</v>
      </c>
      <c r="C1849" s="29" t="str">
        <f ca="1">IFERROR(__xludf.DUMMYFUNCTION("GOOGLETRANSLATE(C4156,""en"",""hr"")"),"Brza spojka")</f>
        <v>Brza spojka</v>
      </c>
      <c r="D1849" s="28" t="s">
        <v>11</v>
      </c>
      <c r="E1849" s="29">
        <v>1</v>
      </c>
      <c r="F1849" s="17"/>
    </row>
    <row r="1850" spans="1:9" ht="25.5" customHeight="1" x14ac:dyDescent="0.2">
      <c r="A1850" s="27">
        <v>1848</v>
      </c>
      <c r="B1850" s="29" t="s">
        <v>1210</v>
      </c>
      <c r="C1850" s="29" t="str">
        <f ca="1">IFERROR(__xludf.DUMMYFUNCTION("GOOGLETRANSLATE(C3835,""en"",""hr"")"),"Priključak crijeva")</f>
        <v>Priključak crijeva</v>
      </c>
      <c r="D1850" s="28" t="s">
        <v>11</v>
      </c>
      <c r="E1850" s="29">
        <v>1</v>
      </c>
      <c r="F1850" s="17"/>
    </row>
    <row r="1851" spans="1:9" ht="25.5" customHeight="1" x14ac:dyDescent="0.2">
      <c r="A1851" s="27">
        <v>1849</v>
      </c>
      <c r="B1851" s="29" t="s">
        <v>1251</v>
      </c>
      <c r="C1851" s="29" t="str">
        <f ca="1">IFERROR(__xludf.DUMMYFUNCTION("GOOGLETRANSLATE(C3957,""en"",""hr"")"),"O-prsten")</f>
        <v>O-prsten</v>
      </c>
      <c r="D1851" s="28" t="s">
        <v>11</v>
      </c>
      <c r="E1851" s="29">
        <v>1</v>
      </c>
      <c r="F1851" s="17"/>
      <c r="I1851" s="4" t="b">
        <f>INT(F1849*100)=(F1849*100)</f>
        <v>1</v>
      </c>
    </row>
    <row r="1852" spans="1:9" ht="25.5" customHeight="1" x14ac:dyDescent="0.2">
      <c r="A1852" s="27">
        <v>1850</v>
      </c>
      <c r="B1852" s="29" t="s">
        <v>1084</v>
      </c>
      <c r="C1852" s="29" t="str">
        <f ca="1">IFERROR(__xludf.DUMMYFUNCTION("GOOGLETRANSLATE(C3498,""en"",""hr"")"),"Montaža pregrade")</f>
        <v>Montaža pregrade</v>
      </c>
      <c r="D1852" s="28" t="s">
        <v>11</v>
      </c>
      <c r="E1852" s="29">
        <v>1</v>
      </c>
      <c r="F1852" s="17"/>
    </row>
    <row r="1853" spans="1:9" ht="25.5" customHeight="1" x14ac:dyDescent="0.2">
      <c r="A1853" s="27">
        <v>1851</v>
      </c>
      <c r="B1853" s="29" t="s">
        <v>1382</v>
      </c>
      <c r="C1853" s="29" t="str">
        <f ca="1">IFERROR(__xludf.DUMMYFUNCTION("GOOGLETRANSLATE(C4378,""en"",""hr"")"),"Schraubdeckel")</f>
        <v>Schraubdeckel</v>
      </c>
      <c r="D1853" s="28" t="s">
        <v>11</v>
      </c>
      <c r="E1853" s="29">
        <v>1</v>
      </c>
      <c r="F1853" s="17"/>
    </row>
    <row r="1854" spans="1:9" ht="25.5" customHeight="1" x14ac:dyDescent="0.2">
      <c r="A1854" s="27">
        <v>1852</v>
      </c>
      <c r="B1854" s="29" t="s">
        <v>1257</v>
      </c>
      <c r="C1854" s="29" t="str">
        <f ca="1">IFERROR(__xludf.DUMMYFUNCTION("GOOGLETRANSLATE(C3977,""en"",""hr"")"),"Priključak crijeva")</f>
        <v>Priključak crijeva</v>
      </c>
      <c r="D1854" s="28" t="s">
        <v>11</v>
      </c>
      <c r="E1854" s="29">
        <v>1</v>
      </c>
      <c r="F1854" s="17"/>
    </row>
    <row r="1855" spans="1:9" ht="25.5" customHeight="1" x14ac:dyDescent="0.2">
      <c r="A1855" s="27">
        <v>1853</v>
      </c>
      <c r="B1855" s="29" t="s">
        <v>478</v>
      </c>
      <c r="C1855" s="29" t="str">
        <f ca="1">IFERROR(__xludf.DUMMYFUNCTION("GOOGLETRANSLATE(C1152,""en"",""hr"")"),"Nazuvica za crijevo")</f>
        <v>Nazuvica za crijevo</v>
      </c>
      <c r="D1855" s="28" t="s">
        <v>11</v>
      </c>
      <c r="E1855" s="29">
        <v>1</v>
      </c>
      <c r="F1855" s="17"/>
      <c r="I1855" s="4" t="b">
        <f>INT(F1853*100)=(F1853*100)</f>
        <v>1</v>
      </c>
    </row>
    <row r="1856" spans="1:9" ht="25.5" customHeight="1" x14ac:dyDescent="0.2">
      <c r="A1856" s="27">
        <v>1854</v>
      </c>
      <c r="B1856" s="29" t="s">
        <v>1071</v>
      </c>
      <c r="C1856" s="29" t="str">
        <f ca="1">IFERROR(__xludf.DUMMYFUNCTION("GOOGLETRANSLATE(C3472,""en"",""hr"")"),"O-prsten")</f>
        <v>O-prsten</v>
      </c>
      <c r="D1856" s="28" t="s">
        <v>11</v>
      </c>
      <c r="E1856" s="29">
        <v>1</v>
      </c>
      <c r="F1856" s="17"/>
    </row>
    <row r="1857" spans="1:9" ht="25.5" customHeight="1" x14ac:dyDescent="0.2">
      <c r="A1857" s="27">
        <v>1855</v>
      </c>
      <c r="B1857" s="29" t="s">
        <v>1073</v>
      </c>
      <c r="C1857" s="29" t="str">
        <f ca="1">IFERROR(__xludf.DUMMYFUNCTION("GOOGLETRANSLATE(C3474,""en"",""hr"")"),"Isječak")</f>
        <v>Isječak</v>
      </c>
      <c r="D1857" s="28" t="s">
        <v>11</v>
      </c>
      <c r="E1857" s="29">
        <v>1</v>
      </c>
      <c r="F1857" s="17"/>
    </row>
    <row r="1858" spans="1:9" ht="25.5" customHeight="1" x14ac:dyDescent="0.2">
      <c r="A1858" s="27">
        <v>1856</v>
      </c>
      <c r="B1858" s="29" t="s">
        <v>1149</v>
      </c>
      <c r="C1858" s="29" t="str">
        <f ca="1">IFERROR(__xludf.DUMMYFUNCTION("GOOGLETRANSLATE(C3724,""en"",""hr"")"),"Grommet")</f>
        <v>Grommet</v>
      </c>
      <c r="D1858" s="28" t="s">
        <v>11</v>
      </c>
      <c r="E1858" s="29">
        <v>1</v>
      </c>
      <c r="F1858" s="17"/>
    </row>
    <row r="1859" spans="1:9" ht="25.5" customHeight="1" x14ac:dyDescent="0.2">
      <c r="A1859" s="27">
        <v>1857</v>
      </c>
      <c r="B1859" s="29" t="s">
        <v>1072</v>
      </c>
      <c r="C1859" s="29" t="str">
        <f ca="1">IFERROR(__xludf.DUMMYFUNCTION("GOOGLETRANSLATE(C3473,""en"",""hr"")"),"Komad s navojem")</f>
        <v>Komad s navojem</v>
      </c>
      <c r="D1859" s="28" t="s">
        <v>11</v>
      </c>
      <c r="E1859" s="29">
        <v>1</v>
      </c>
      <c r="F1859" s="17"/>
    </row>
    <row r="1860" spans="1:9" ht="25.5" customHeight="1" x14ac:dyDescent="0.2">
      <c r="A1860" s="27">
        <v>1858</v>
      </c>
      <c r="B1860" s="29" t="s">
        <v>1148</v>
      </c>
      <c r="C1860" s="29" t="str">
        <f ca="1">IFERROR(__xludf.DUMMYFUNCTION("GOOGLETRANSLATE(C3718,""en"",""hr"")"),"Ventil")</f>
        <v>Ventil</v>
      </c>
      <c r="D1860" s="28" t="s">
        <v>11</v>
      </c>
      <c r="E1860" s="29">
        <v>1</v>
      </c>
      <c r="F1860" s="17"/>
    </row>
    <row r="1861" spans="1:9" ht="25.5" customHeight="1" x14ac:dyDescent="0.2">
      <c r="A1861" s="27">
        <v>1859</v>
      </c>
      <c r="B1861" s="29" t="s">
        <v>1246</v>
      </c>
      <c r="C1861" s="29" t="str">
        <f ca="1">IFERROR(__xludf.DUMMYFUNCTION("GOOGLETRANSLATE(C3952,""en"",""hr"")"),"Rukav")</f>
        <v>Rukav</v>
      </c>
      <c r="D1861" s="28" t="s">
        <v>11</v>
      </c>
      <c r="E1861" s="29">
        <v>1</v>
      </c>
      <c r="F1861" s="17"/>
    </row>
    <row r="1862" spans="1:9" ht="25.5" customHeight="1" x14ac:dyDescent="0.2">
      <c r="A1862" s="27">
        <v>1860</v>
      </c>
      <c r="B1862" s="29" t="s">
        <v>1264</v>
      </c>
      <c r="C1862" s="29" t="str">
        <f ca="1">IFERROR(__xludf.DUMMYFUNCTION("GOOGLETRANSLATE(C3994,""en"",""hr"")"),"Priključak crijeva")</f>
        <v>Priključak crijeva</v>
      </c>
      <c r="D1862" s="28" t="s">
        <v>11</v>
      </c>
      <c r="E1862" s="29">
        <v>1</v>
      </c>
      <c r="F1862" s="17"/>
    </row>
    <row r="1863" spans="1:9" ht="25.5" customHeight="1" x14ac:dyDescent="0.2">
      <c r="A1863" s="27">
        <v>1861</v>
      </c>
      <c r="B1863" s="29" t="s">
        <v>582</v>
      </c>
      <c r="C1863" s="29" t="str">
        <f ca="1">IFERROR(__xludf.DUMMYFUNCTION("GOOGLETRANSLATE(C1619,""en"",""hr"")"),"Koljeno prirubnice")</f>
        <v>Koljeno prirubnice</v>
      </c>
      <c r="D1863" s="28" t="s">
        <v>11</v>
      </c>
      <c r="E1863" s="29">
        <v>1</v>
      </c>
      <c r="F1863" s="17"/>
      <c r="I1863" s="4" t="b">
        <f>INT(F1861*100)=(F1861*100)</f>
        <v>1</v>
      </c>
    </row>
    <row r="1864" spans="1:9" ht="25.5" customHeight="1" x14ac:dyDescent="0.2">
      <c r="A1864" s="27">
        <v>1862</v>
      </c>
      <c r="B1864" s="29" t="s">
        <v>571</v>
      </c>
      <c r="C1864" s="29" t="str">
        <f ca="1">IFERROR(__xludf.DUMMYFUNCTION("GOOGLETRANSLATE(C1589,""en"",""hr"")"),"Veza")</f>
        <v>Veza</v>
      </c>
      <c r="D1864" s="28" t="s">
        <v>11</v>
      </c>
      <c r="E1864" s="29">
        <v>1</v>
      </c>
      <c r="F1864" s="17"/>
    </row>
    <row r="1865" spans="1:9" ht="25.5" customHeight="1" x14ac:dyDescent="0.2">
      <c r="A1865" s="27">
        <v>1863</v>
      </c>
      <c r="B1865" s="29" t="s">
        <v>265</v>
      </c>
      <c r="C1865" s="29" t="str">
        <f ca="1">IFERROR(__xludf.DUMMYFUNCTION("GOOGLETRANSLATE(C579,""en"",""hr"")"),"Šuplji vijak")</f>
        <v>Šuplji vijak</v>
      </c>
      <c r="D1865" s="28" t="s">
        <v>11</v>
      </c>
      <c r="E1865" s="29">
        <v>1</v>
      </c>
      <c r="F1865" s="17"/>
    </row>
    <row r="1866" spans="1:9" ht="25.5" customHeight="1" x14ac:dyDescent="0.2">
      <c r="A1866" s="27">
        <v>1864</v>
      </c>
      <c r="B1866" s="29" t="s">
        <v>255</v>
      </c>
      <c r="C1866" s="29" t="str">
        <f ca="1">IFERROR(__xludf.DUMMYFUNCTION("GOOGLETRANSLATE(C553,""en"",""hr"")"),"Šuplji vijak")</f>
        <v>Šuplji vijak</v>
      </c>
      <c r="D1866" s="28" t="s">
        <v>11</v>
      </c>
      <c r="E1866" s="29">
        <v>1</v>
      </c>
      <c r="F1866" s="17"/>
      <c r="I1866" s="4" t="b">
        <f>INT(F1864*100)=(F1864*100)</f>
        <v>1</v>
      </c>
    </row>
    <row r="1867" spans="1:9" ht="25.5" customHeight="1" x14ac:dyDescent="0.2">
      <c r="A1867" s="27">
        <v>1865</v>
      </c>
      <c r="B1867" s="29" t="s">
        <v>1368</v>
      </c>
      <c r="C1867" s="29" t="str">
        <f ca="1">IFERROR(__xludf.DUMMYFUNCTION("GOOGLETRANSLATE(C4344,""en"",""hr"")"),"Spoj s navojem")</f>
        <v>Spoj s navojem</v>
      </c>
      <c r="D1867" s="28" t="s">
        <v>11</v>
      </c>
      <c r="E1867" s="29">
        <v>1</v>
      </c>
      <c r="F1867" s="17"/>
    </row>
    <row r="1868" spans="1:9" ht="25.5" customHeight="1" x14ac:dyDescent="0.2">
      <c r="A1868" s="27">
        <v>1866</v>
      </c>
      <c r="B1868" s="29" t="s">
        <v>1147</v>
      </c>
      <c r="C1868" s="29" t="str">
        <f ca="1">IFERROR(__xludf.DUMMYFUNCTION("GOOGLETRANSLATE(C3713,""en"",""hr"")"),"Montaža pregrade")</f>
        <v>Montaža pregrade</v>
      </c>
      <c r="D1868" s="28" t="s">
        <v>11</v>
      </c>
      <c r="E1868" s="29">
        <v>1</v>
      </c>
      <c r="F1868" s="17"/>
    </row>
    <row r="1869" spans="1:9" ht="25.5" customHeight="1" x14ac:dyDescent="0.2">
      <c r="A1869" s="27">
        <v>1867</v>
      </c>
      <c r="B1869" s="29" t="s">
        <v>485</v>
      </c>
      <c r="C1869" s="29" t="str">
        <f ca="1">IFERROR(__xludf.DUMMYFUNCTION("GOOGLETRANSLATE(C1166,""en"",""hr"")"),"Nazuvica za crijevo")</f>
        <v>Nazuvica za crijevo</v>
      </c>
      <c r="D1869" s="28" t="s">
        <v>11</v>
      </c>
      <c r="E1869" s="29">
        <v>1</v>
      </c>
      <c r="F1869" s="17"/>
    </row>
    <row r="1870" spans="1:9" ht="25.5" customHeight="1" x14ac:dyDescent="0.2">
      <c r="A1870" s="27">
        <v>1868</v>
      </c>
      <c r="B1870" s="29" t="s">
        <v>361</v>
      </c>
      <c r="C1870" s="29" t="str">
        <f ca="1">IFERROR(__xludf.DUMMYFUNCTION("GOOGLETRANSLATE(C819,""en"",""hr"")"),"Veza")</f>
        <v>Veza</v>
      </c>
      <c r="D1870" s="28" t="s">
        <v>11</v>
      </c>
      <c r="E1870" s="29">
        <v>1</v>
      </c>
      <c r="F1870" s="17"/>
      <c r="I1870" s="4" t="b">
        <f>INT(F1868*100)=(F1868*100)</f>
        <v>1</v>
      </c>
    </row>
    <row r="1871" spans="1:9" ht="25.5" customHeight="1" x14ac:dyDescent="0.2">
      <c r="A1871" s="27">
        <v>1869</v>
      </c>
      <c r="B1871" s="29" t="s">
        <v>418</v>
      </c>
      <c r="C1871" s="29" t="str">
        <f ca="1">IFERROR(__xludf.DUMMYFUNCTION("GOOGLETRANSLATE(C990,""en"",""hr"")"),"Okretna matica")</f>
        <v>Okretna matica</v>
      </c>
      <c r="D1871" s="28" t="s">
        <v>11</v>
      </c>
      <c r="E1871" s="29">
        <v>1</v>
      </c>
      <c r="F1871" s="17"/>
    </row>
    <row r="1872" spans="1:9" ht="25.5" customHeight="1" x14ac:dyDescent="0.2">
      <c r="A1872" s="27">
        <v>1870</v>
      </c>
      <c r="B1872" s="29" t="s">
        <v>360</v>
      </c>
      <c r="C1872" s="29" t="str">
        <f ca="1">IFERROR(__xludf.DUMMYFUNCTION("GOOGLETRANSLATE(C818,""en"",""hr"")"),"Veza")</f>
        <v>Veza</v>
      </c>
      <c r="D1872" s="28" t="s">
        <v>11</v>
      </c>
      <c r="E1872" s="29">
        <v>1</v>
      </c>
      <c r="F1872" s="17"/>
    </row>
    <row r="1873" spans="1:6" ht="25.5" customHeight="1" x14ac:dyDescent="0.2">
      <c r="A1873" s="27">
        <v>1871</v>
      </c>
      <c r="B1873" s="29" t="s">
        <v>385</v>
      </c>
      <c r="C1873" s="29" t="str">
        <f ca="1">IFERROR(__xludf.DUMMYFUNCTION("GOOGLETRANSLATE(C888,""en"",""hr"")"),"Autobusni bar")</f>
        <v>Autobusni bar</v>
      </c>
      <c r="D1873" s="28" t="s">
        <v>11</v>
      </c>
      <c r="E1873" s="29">
        <v>1</v>
      </c>
      <c r="F1873" s="17"/>
    </row>
    <row r="1874" spans="1:6" ht="25.5" customHeight="1" x14ac:dyDescent="0.2">
      <c r="A1874" s="27">
        <v>1872</v>
      </c>
      <c r="B1874" s="29" t="s">
        <v>568</v>
      </c>
      <c r="C1874" s="29" t="str">
        <f ca="1">IFERROR(__xludf.DUMMYFUNCTION("GOOGLETRANSLATE(C1584,""en"",""hr"")"),"Utični spoj")</f>
        <v>Utični spoj</v>
      </c>
      <c r="D1874" s="28" t="s">
        <v>11</v>
      </c>
      <c r="E1874" s="29">
        <v>1</v>
      </c>
      <c r="F1874" s="17"/>
    </row>
    <row r="1875" spans="1:6" ht="25.5" customHeight="1" x14ac:dyDescent="0.2">
      <c r="A1875" s="27">
        <v>1873</v>
      </c>
      <c r="B1875" s="29" t="s">
        <v>194</v>
      </c>
      <c r="C1875" s="29" t="str">
        <f ca="1">IFERROR(__xludf.DUMMYFUNCTION("GOOGLETRANSLATE(C422,""en"",""hr"")"),"Šuplji vijak")</f>
        <v>Šuplji vijak</v>
      </c>
      <c r="D1875" s="28" t="s">
        <v>11</v>
      </c>
      <c r="E1875" s="29">
        <v>1</v>
      </c>
      <c r="F1875" s="17"/>
    </row>
    <row r="1876" spans="1:6" ht="25.5" customHeight="1" x14ac:dyDescent="0.2">
      <c r="A1876" s="27">
        <v>1874</v>
      </c>
      <c r="B1876" s="29" t="s">
        <v>1428</v>
      </c>
      <c r="C1876" s="29" t="str">
        <f ca="1">IFERROR(__xludf.DUMMYFUNCTION("GOOGLETRANSLATE(C4641,""en"",""hr"")"),"Spojnica")</f>
        <v>Spojnica</v>
      </c>
      <c r="D1876" s="28" t="s">
        <v>11</v>
      </c>
      <c r="E1876" s="29">
        <v>1</v>
      </c>
      <c r="F1876" s="17"/>
    </row>
    <row r="1877" spans="1:6" ht="25.5" customHeight="1" x14ac:dyDescent="0.2">
      <c r="A1877" s="27">
        <v>1875</v>
      </c>
      <c r="B1877" s="29" t="s">
        <v>1069</v>
      </c>
      <c r="C1877" s="29" t="str">
        <f ca="1">IFERROR(__xludf.DUMMYFUNCTION("GOOGLETRANSLATE(C3470,""en"",""hr"")"),"Priključak s navojem")</f>
        <v>Priključak s navojem</v>
      </c>
      <c r="D1877" s="28" t="s">
        <v>11</v>
      </c>
      <c r="E1877" s="29">
        <v>1</v>
      </c>
      <c r="F1877" s="17"/>
    </row>
    <row r="1878" spans="1:6" ht="25.5" customHeight="1" x14ac:dyDescent="0.2">
      <c r="A1878" s="27">
        <v>1876</v>
      </c>
      <c r="B1878" s="29" t="s">
        <v>1074</v>
      </c>
      <c r="C1878" s="29" t="str">
        <f ca="1">IFERROR(__xludf.DUMMYFUNCTION("GOOGLETRANSLATE(C3475,""en"",""hr"")"),"Isječak")</f>
        <v>Isječak</v>
      </c>
      <c r="D1878" s="28" t="s">
        <v>11</v>
      </c>
      <c r="E1878" s="29">
        <v>1</v>
      </c>
      <c r="F1878" s="17"/>
    </row>
    <row r="1879" spans="1:6" ht="25.5" customHeight="1" x14ac:dyDescent="0.2">
      <c r="A1879" s="27">
        <v>1877</v>
      </c>
      <c r="B1879" s="29" t="s">
        <v>1068</v>
      </c>
      <c r="C1879" s="29" t="str">
        <f ca="1">IFERROR(__xludf.DUMMYFUNCTION("GOOGLETRANSLATE(C3469,""en"",""hr"")"),"O-prsten")</f>
        <v>O-prsten</v>
      </c>
      <c r="D1879" s="28" t="s">
        <v>11</v>
      </c>
      <c r="E1879" s="29">
        <v>1</v>
      </c>
      <c r="F1879" s="17"/>
    </row>
    <row r="1880" spans="1:6" ht="25.5" customHeight="1" x14ac:dyDescent="0.2">
      <c r="A1880" s="27">
        <v>1878</v>
      </c>
      <c r="B1880" s="29" t="s">
        <v>1265</v>
      </c>
      <c r="C1880" s="29" t="str">
        <f ca="1">IFERROR(__xludf.DUMMYFUNCTION("GOOGLETRANSLATE(C3996,""en"",""hr"")"),"Veza")</f>
        <v>Veza</v>
      </c>
      <c r="D1880" s="28" t="s">
        <v>11</v>
      </c>
      <c r="E1880" s="29">
        <v>1</v>
      </c>
      <c r="F1880" s="17"/>
    </row>
    <row r="1881" spans="1:6" ht="25.5" customHeight="1" x14ac:dyDescent="0.2">
      <c r="A1881" s="27">
        <v>1879</v>
      </c>
      <c r="B1881" s="29" t="s">
        <v>1207</v>
      </c>
      <c r="C1881" s="29" t="str">
        <f ca="1">IFERROR(__xludf.DUMMYFUNCTION("GOOGLETRANSLATE(C3829,""en"",""hr"")"),"Priključak crijeva")</f>
        <v>Priključak crijeva</v>
      </c>
      <c r="D1881" s="28" t="s">
        <v>11</v>
      </c>
      <c r="E1881" s="29">
        <v>1</v>
      </c>
      <c r="F1881" s="17"/>
    </row>
    <row r="1882" spans="1:6" ht="25.5" customHeight="1" x14ac:dyDescent="0.2">
      <c r="A1882" s="27">
        <v>1880</v>
      </c>
      <c r="B1882" s="29" t="s">
        <v>1139</v>
      </c>
      <c r="C1882" s="29" t="str">
        <f ca="1">IFERROR(__xludf.DUMMYFUNCTION("GOOGLETRANSLATE(C3701,""en"",""hr"")"),"Priključak crijeva")</f>
        <v>Priključak crijeva</v>
      </c>
      <c r="D1882" s="28" t="s">
        <v>11</v>
      </c>
      <c r="E1882" s="29">
        <v>1</v>
      </c>
      <c r="F1882" s="17"/>
    </row>
    <row r="1883" spans="1:6" ht="25.5" customHeight="1" x14ac:dyDescent="0.2">
      <c r="A1883" s="27">
        <v>1881</v>
      </c>
      <c r="B1883" s="29" t="s">
        <v>1075</v>
      </c>
      <c r="C1883" s="29" t="str">
        <f ca="1">IFERROR(__xludf.DUMMYFUNCTION("GOOGLETRANSLATE(C3476,""en"",""hr"")"),"Utikač za utikač")</f>
        <v>Utikač za utikač</v>
      </c>
      <c r="D1883" s="28" t="s">
        <v>11</v>
      </c>
      <c r="E1883" s="29">
        <v>1</v>
      </c>
      <c r="F1883" s="17"/>
    </row>
    <row r="1884" spans="1:6" ht="25.5" customHeight="1" x14ac:dyDescent="0.2">
      <c r="A1884" s="27">
        <v>1882</v>
      </c>
      <c r="B1884" s="29" t="s">
        <v>436</v>
      </c>
      <c r="C1884" s="29" t="str">
        <f ca="1">IFERROR(__xludf.DUMMYFUNCTION("GOOGLETRANSLATE(C1052,""en"",""hr"")"),"Nazuvica za crijevo")</f>
        <v>Nazuvica za crijevo</v>
      </c>
      <c r="D1884" s="28" t="s">
        <v>11</v>
      </c>
      <c r="E1884" s="29">
        <v>1</v>
      </c>
      <c r="F1884" s="17"/>
    </row>
    <row r="1885" spans="1:6" ht="25.5" customHeight="1" x14ac:dyDescent="0.2">
      <c r="A1885" s="27">
        <v>1883</v>
      </c>
      <c r="B1885" s="29" t="s">
        <v>444</v>
      </c>
      <c r="C1885" s="29" t="str">
        <f ca="1">IFERROR(__xludf.DUMMYFUNCTION("GOOGLETRANSLATE(C1066,""en"",""hr"")"),"Nazuvica za crijevo")</f>
        <v>Nazuvica za crijevo</v>
      </c>
      <c r="D1885" s="28" t="s">
        <v>11</v>
      </c>
      <c r="E1885" s="29">
        <v>1</v>
      </c>
      <c r="F1885" s="17"/>
    </row>
    <row r="1886" spans="1:6" ht="25.5" customHeight="1" x14ac:dyDescent="0.2">
      <c r="A1886" s="27">
        <v>1884</v>
      </c>
      <c r="B1886" s="29" t="s">
        <v>435</v>
      </c>
      <c r="C1886" s="29" t="str">
        <f ca="1">IFERROR(__xludf.DUMMYFUNCTION("GOOGLETRANSLATE(C1051,""en"",""hr"")"),"Priključak crijeva")</f>
        <v>Priključak crijeva</v>
      </c>
      <c r="D1886" s="28" t="s">
        <v>11</v>
      </c>
      <c r="E1886" s="29">
        <v>1</v>
      </c>
      <c r="F1886" s="17"/>
    </row>
    <row r="1887" spans="1:6" ht="25.5" customHeight="1" x14ac:dyDescent="0.2">
      <c r="A1887" s="27">
        <v>1885</v>
      </c>
      <c r="B1887" s="29" t="s">
        <v>437</v>
      </c>
      <c r="C1887" s="29" t="str">
        <f ca="1">IFERROR(__xludf.DUMMYFUNCTION("GOOGLETRANSLATE(C1053,""en"",""hr"")"),"Šuplji vijak")</f>
        <v>Šuplji vijak</v>
      </c>
      <c r="D1887" s="28" t="s">
        <v>11</v>
      </c>
      <c r="E1887" s="29">
        <v>1</v>
      </c>
      <c r="F1887" s="17"/>
    </row>
    <row r="1888" spans="1:6" ht="25.5" customHeight="1" x14ac:dyDescent="0.2">
      <c r="A1888" s="27">
        <v>1886</v>
      </c>
      <c r="B1888" s="29" t="s">
        <v>259</v>
      </c>
      <c r="C1888" s="29" t="str">
        <f ca="1">IFERROR(__xludf.DUMMYFUNCTION("GOOGLETRANSLATE(C559,""en"",""hr"")"),"Šuplji vijak")</f>
        <v>Šuplji vijak</v>
      </c>
      <c r="D1888" s="28" t="s">
        <v>11</v>
      </c>
      <c r="E1888" s="29">
        <v>1</v>
      </c>
      <c r="F1888" s="17"/>
    </row>
    <row r="1889" spans="1:9" ht="25.5" customHeight="1" x14ac:dyDescent="0.2">
      <c r="A1889" s="27">
        <v>1887</v>
      </c>
      <c r="B1889" s="29" t="s">
        <v>392</v>
      </c>
      <c r="C1889" s="29" t="str">
        <f ca="1">IFERROR(__xludf.DUMMYFUNCTION("GOOGLETRANSLATE(C925,""en"",""hr"")"),"Šuplji vijak")</f>
        <v>Šuplji vijak</v>
      </c>
      <c r="D1889" s="28" t="s">
        <v>11</v>
      </c>
      <c r="E1889" s="29">
        <v>1</v>
      </c>
      <c r="F1889" s="17"/>
      <c r="I1889" s="4" t="b">
        <f>INT(F1887*100)=(F1887*100)</f>
        <v>1</v>
      </c>
    </row>
    <row r="1890" spans="1:9" ht="25.5" customHeight="1" x14ac:dyDescent="0.2">
      <c r="A1890" s="27">
        <v>1888</v>
      </c>
      <c r="B1890" s="29" t="s">
        <v>393</v>
      </c>
      <c r="C1890" s="29" t="str">
        <f ca="1">IFERROR(__xludf.DUMMYFUNCTION("GOOGLETRANSLATE(C926,""en"",""hr"")"),"Nazuvica za crijevo")</f>
        <v>Nazuvica za crijevo</v>
      </c>
      <c r="D1890" s="28" t="s">
        <v>11</v>
      </c>
      <c r="E1890" s="29">
        <v>1</v>
      </c>
      <c r="F1890" s="17"/>
    </row>
    <row r="1891" spans="1:9" ht="25.5" customHeight="1" x14ac:dyDescent="0.2">
      <c r="A1891" s="27">
        <v>1889</v>
      </c>
      <c r="B1891" s="29" t="s">
        <v>588</v>
      </c>
      <c r="C1891" s="29" t="str">
        <f ca="1">IFERROR(__xludf.DUMMYFUNCTION("GOOGLETRANSLATE(C1680,""en"",""hr"")"),"Nazuvica za crijevo")</f>
        <v>Nazuvica za crijevo</v>
      </c>
      <c r="D1891" s="28" t="s">
        <v>11</v>
      </c>
      <c r="E1891" s="29">
        <v>1</v>
      </c>
      <c r="F1891" s="17"/>
    </row>
    <row r="1892" spans="1:9" ht="25.5" customHeight="1" x14ac:dyDescent="0.2">
      <c r="A1892" s="27">
        <v>1890</v>
      </c>
      <c r="B1892" s="29" t="s">
        <v>1096</v>
      </c>
      <c r="C1892" s="29" t="str">
        <f ca="1">IFERROR(__xludf.DUMMYFUNCTION("GOOGLETRANSLATE(C3552,""en"",""hr"")"),"Priključak crijeva")</f>
        <v>Priključak crijeva</v>
      </c>
      <c r="D1892" s="28" t="s">
        <v>11</v>
      </c>
      <c r="E1892" s="29">
        <v>1</v>
      </c>
      <c r="F1892" s="17"/>
      <c r="I1892" s="4" t="b">
        <f>INT(F1890*100)=(F1890*100)</f>
        <v>1</v>
      </c>
    </row>
    <row r="1893" spans="1:9" ht="25.5" customHeight="1" x14ac:dyDescent="0.2">
      <c r="A1893" s="27">
        <v>1891</v>
      </c>
      <c r="B1893" s="29" t="s">
        <v>563</v>
      </c>
      <c r="C1893" s="29" t="str">
        <f ca="1">IFERROR(__xludf.DUMMYFUNCTION("GOOGLETRANSLATE(C1579,""en"",""hr"")"),"T-nazuvica za crijevo")</f>
        <v>T-nazuvica za crijevo</v>
      </c>
      <c r="D1893" s="28" t="s">
        <v>11</v>
      </c>
      <c r="E1893" s="29">
        <v>1</v>
      </c>
      <c r="F1893" s="17"/>
    </row>
    <row r="1894" spans="1:9" ht="25.5" customHeight="1" x14ac:dyDescent="0.2">
      <c r="A1894" s="27">
        <v>1892</v>
      </c>
      <c r="B1894" s="29" t="s">
        <v>577</v>
      </c>
      <c r="C1894" s="29" t="str">
        <f ca="1">IFERROR(__xludf.DUMMYFUNCTION("GOOGLETRANSLATE(C1605,""en"",""hr"")"),"Y priključak za crijevo")</f>
        <v>Y priključak za crijevo</v>
      </c>
      <c r="D1894" s="28" t="s">
        <v>11</v>
      </c>
      <c r="E1894" s="29">
        <v>1</v>
      </c>
      <c r="F1894" s="17"/>
    </row>
    <row r="1895" spans="1:9" ht="25.5" customHeight="1" x14ac:dyDescent="0.2">
      <c r="A1895" s="27">
        <v>1893</v>
      </c>
      <c r="B1895" s="29" t="s">
        <v>1127</v>
      </c>
      <c r="C1895" s="29" t="str">
        <f ca="1">IFERROR(__xludf.DUMMYFUNCTION("GOOGLETRANSLATE(C3665,""en"",""hr"")"),"Ravni uvrtni vijčani spoj")</f>
        <v>Ravni uvrtni vijčani spoj</v>
      </c>
      <c r="D1895" s="28" t="s">
        <v>11</v>
      </c>
      <c r="E1895" s="29">
        <v>1</v>
      </c>
      <c r="F1895" s="17"/>
    </row>
    <row r="1896" spans="1:9" ht="25.5" customHeight="1" x14ac:dyDescent="0.2">
      <c r="A1896" s="27">
        <v>1894</v>
      </c>
      <c r="B1896" s="29" t="s">
        <v>1103</v>
      </c>
      <c r="C1896" s="29" t="str">
        <f ca="1">IFERROR(__xludf.DUMMYFUNCTION("GOOGLETRANSLATE(C3573,""en"",""hr"")"),"Ravni uvrtni vijčani spoj")</f>
        <v>Ravni uvrtni vijčani spoj</v>
      </c>
      <c r="D1896" s="28" t="s">
        <v>11</v>
      </c>
      <c r="E1896" s="29">
        <v>1</v>
      </c>
      <c r="F1896" s="17"/>
      <c r="I1896" s="4" t="b">
        <f>INT(F1894*100)=(F1894*100)</f>
        <v>1</v>
      </c>
    </row>
    <row r="1897" spans="1:9" ht="25.5" customHeight="1" x14ac:dyDescent="0.2">
      <c r="A1897" s="27">
        <v>1895</v>
      </c>
      <c r="B1897" s="29" t="s">
        <v>1094</v>
      </c>
      <c r="C1897" s="29" t="str">
        <f ca="1">IFERROR(__xludf.DUMMYFUNCTION("GOOGLETRANSLATE(C3543,""en"",""hr"")"),"Kutni priključak crijeva")</f>
        <v>Kutni priključak crijeva</v>
      </c>
      <c r="D1897" s="28" t="s">
        <v>11</v>
      </c>
      <c r="E1897" s="29">
        <v>1</v>
      </c>
      <c r="F1897" s="17"/>
    </row>
    <row r="1898" spans="1:9" ht="25.5" customHeight="1" x14ac:dyDescent="0.2">
      <c r="A1898" s="27">
        <v>1896</v>
      </c>
      <c r="B1898" s="29" t="s">
        <v>262</v>
      </c>
      <c r="C1898" s="29" t="str">
        <f ca="1">IFERROR(__xludf.DUMMYFUNCTION("GOOGLETRANSLATE(C572,""en"",""hr"")"),"Šuplji vijak")</f>
        <v>Šuplji vijak</v>
      </c>
      <c r="D1898" s="28" t="s">
        <v>11</v>
      </c>
      <c r="E1898" s="29">
        <v>1</v>
      </c>
      <c r="F1898" s="17"/>
    </row>
    <row r="1899" spans="1:9" ht="25.5" customHeight="1" x14ac:dyDescent="0.2">
      <c r="A1899" s="27">
        <v>1897</v>
      </c>
      <c r="B1899" s="29" t="s">
        <v>564</v>
      </c>
      <c r="C1899" s="29" t="str">
        <f ca="1">IFERROR(__xludf.DUMMYFUNCTION("GOOGLETRANSLATE(C1580,""en"",""hr"")"),"Veza")</f>
        <v>Veza</v>
      </c>
      <c r="D1899" s="28" t="s">
        <v>11</v>
      </c>
      <c r="E1899" s="29">
        <v>1</v>
      </c>
      <c r="F1899" s="17"/>
    </row>
    <row r="1900" spans="1:9" ht="25.5" customHeight="1" x14ac:dyDescent="0.2">
      <c r="A1900" s="27">
        <v>1898</v>
      </c>
      <c r="B1900" s="29" t="s">
        <v>1095</v>
      </c>
      <c r="C1900" s="29" t="str">
        <f ca="1">IFERROR(__xludf.DUMMYFUNCTION("GOOGLETRANSLATE(C3549,""en"",""hr"")"),"klizna vrata")</f>
        <v>klizna vrata</v>
      </c>
      <c r="D1900" s="28" t="s">
        <v>11</v>
      </c>
      <c r="E1900" s="29">
        <v>1</v>
      </c>
      <c r="F1900" s="17"/>
    </row>
    <row r="1901" spans="1:9" ht="25.5" customHeight="1" x14ac:dyDescent="0.2">
      <c r="A1901" s="27">
        <v>1899</v>
      </c>
      <c r="B1901" s="29" t="s">
        <v>279</v>
      </c>
      <c r="C1901" s="29" t="str">
        <f ca="1">IFERROR(__xludf.DUMMYFUNCTION("GOOGLETRANSLATE(C610,""en"",""hr"")"),"Veza")</f>
        <v>Veza</v>
      </c>
      <c r="D1901" s="28" t="s">
        <v>11</v>
      </c>
      <c r="E1901" s="29">
        <v>1</v>
      </c>
      <c r="F1901" s="17"/>
    </row>
    <row r="1902" spans="1:9" ht="25.5" customHeight="1" x14ac:dyDescent="0.2">
      <c r="A1902" s="27">
        <v>1900</v>
      </c>
      <c r="B1902" s="29" t="s">
        <v>1161</v>
      </c>
      <c r="C1902" s="29" t="str">
        <f ca="1">IFERROR(__xludf.DUMMYFUNCTION("GOOGLETRANSLATE(C3768,""en"",""hr"")"),"Priključak crijeva")</f>
        <v>Priključak crijeva</v>
      </c>
      <c r="D1902" s="28" t="s">
        <v>11</v>
      </c>
      <c r="E1902" s="29">
        <v>1</v>
      </c>
      <c r="F1902" s="17"/>
    </row>
    <row r="1903" spans="1:9" ht="25.5" customHeight="1" x14ac:dyDescent="0.2">
      <c r="A1903" s="27">
        <v>1901</v>
      </c>
      <c r="B1903" s="29" t="s">
        <v>1124</v>
      </c>
      <c r="C1903" s="29" t="str">
        <f ca="1">IFERROR(__xludf.DUMMYFUNCTION("GOOGLETRANSLATE(C3661,""en"",""hr"")"),"Veza")</f>
        <v>Veza</v>
      </c>
      <c r="D1903" s="28" t="s">
        <v>11</v>
      </c>
      <c r="E1903" s="29">
        <v>1</v>
      </c>
      <c r="F1903" s="17"/>
    </row>
    <row r="1904" spans="1:9" ht="25.5" customHeight="1" x14ac:dyDescent="0.2">
      <c r="A1904" s="27">
        <v>1902</v>
      </c>
      <c r="B1904" s="29" t="s">
        <v>415</v>
      </c>
      <c r="C1904" s="29" t="str">
        <f ca="1">IFERROR(__xludf.DUMMYFUNCTION("GOOGLETRANSLATE(C987,""en"",""hr"")"),"Priključak crijeva")</f>
        <v>Priključak crijeva</v>
      </c>
      <c r="D1904" s="28" t="s">
        <v>11</v>
      </c>
      <c r="E1904" s="29">
        <v>1</v>
      </c>
      <c r="F1904" s="17"/>
    </row>
    <row r="1905" spans="1:9" ht="25.5" customHeight="1" x14ac:dyDescent="0.2">
      <c r="A1905" s="27">
        <v>1903</v>
      </c>
      <c r="B1905" s="29" t="s">
        <v>1102</v>
      </c>
      <c r="C1905" s="29" t="str">
        <f ca="1">IFERROR(__xludf.DUMMYFUNCTION("GOOGLETRANSLATE(C3571,""en"",""hr"")"),"Priključak crijeva")</f>
        <v>Priključak crijeva</v>
      </c>
      <c r="D1905" s="28" t="s">
        <v>11</v>
      </c>
      <c r="E1905" s="29">
        <v>1</v>
      </c>
      <c r="F1905" s="17"/>
    </row>
    <row r="1906" spans="1:9" ht="25.5" customHeight="1" x14ac:dyDescent="0.2">
      <c r="A1906" s="27">
        <v>1904</v>
      </c>
      <c r="B1906" s="29" t="s">
        <v>576</v>
      </c>
      <c r="C1906" s="29" t="str">
        <f ca="1">IFERROR(__xludf.DUMMYFUNCTION("GOOGLETRANSLATE(C1601,""en"",""hr"")"),"Spojni dio Y-cijevi")</f>
        <v>Spojni dio Y-cijevi</v>
      </c>
      <c r="D1906" s="28" t="s">
        <v>11</v>
      </c>
      <c r="E1906" s="29">
        <v>1</v>
      </c>
      <c r="F1906" s="17"/>
    </row>
    <row r="1907" spans="1:9" ht="25.5" customHeight="1" x14ac:dyDescent="0.2">
      <c r="A1907" s="27">
        <v>1905</v>
      </c>
      <c r="B1907" s="29" t="s">
        <v>359</v>
      </c>
      <c r="C1907" s="29" t="str">
        <f ca="1">IFERROR(__xludf.DUMMYFUNCTION("GOOGLETRANSLATE(C817,""en"",""hr"")"),"Rotirajuća spojka")</f>
        <v>Rotirajuća spojka</v>
      </c>
      <c r="D1907" s="28" t="s">
        <v>11</v>
      </c>
      <c r="E1907" s="29">
        <v>1</v>
      </c>
      <c r="F1907" s="17"/>
    </row>
    <row r="1908" spans="1:9" ht="25.5" customHeight="1" x14ac:dyDescent="0.2">
      <c r="A1908" s="27">
        <v>1906</v>
      </c>
      <c r="B1908" s="29" t="s">
        <v>358</v>
      </c>
      <c r="C1908" s="29" t="str">
        <f ca="1">IFERROR(__xludf.DUMMYFUNCTION("GOOGLETRANSLATE(C816,""en"",""hr"")"),"Uklapanje")</f>
        <v>Uklapanje</v>
      </c>
      <c r="D1908" s="28" t="s">
        <v>11</v>
      </c>
      <c r="E1908" s="29">
        <v>1</v>
      </c>
      <c r="F1908" s="17"/>
    </row>
    <row r="1909" spans="1:9" ht="25.5" customHeight="1" x14ac:dyDescent="0.2">
      <c r="A1909" s="27">
        <v>1907</v>
      </c>
      <c r="B1909" s="29" t="s">
        <v>1671</v>
      </c>
      <c r="C1909" s="29" t="str">
        <f ca="1">IFERROR(__xludf.DUMMYFUNCTION("GOOGLETRANSLATE(C5768,""en"",""hr"")"),"Pritisnite Nippel")</f>
        <v>Pritisnite Nippel</v>
      </c>
      <c r="D1909" s="28" t="s">
        <v>11</v>
      </c>
      <c r="E1909" s="29">
        <v>1</v>
      </c>
      <c r="F1909" s="17"/>
    </row>
    <row r="1910" spans="1:9" ht="25.5" customHeight="1" x14ac:dyDescent="0.2">
      <c r="A1910" s="27">
        <v>1908</v>
      </c>
      <c r="B1910" s="29" t="s">
        <v>513</v>
      </c>
      <c r="C1910" s="29" t="str">
        <f ca="1">IFERROR(__xludf.DUMMYFUNCTION("GOOGLETRANSLATE(C1302,""en"",""hr"")"),"Veza")</f>
        <v>Veza</v>
      </c>
      <c r="D1910" s="28" t="s">
        <v>11</v>
      </c>
      <c r="E1910" s="29">
        <v>1</v>
      </c>
      <c r="F1910" s="17"/>
    </row>
    <row r="1911" spans="1:9" ht="25.5" customHeight="1" x14ac:dyDescent="0.2">
      <c r="A1911" s="27">
        <v>1909</v>
      </c>
      <c r="B1911" s="29" t="s">
        <v>1375</v>
      </c>
      <c r="C1911" s="29" t="str">
        <f ca="1">IFERROR(__xludf.DUMMYFUNCTION("GOOGLETRANSLATE(C4355,""en"",""hr"")"),"Šuplji vijak")</f>
        <v>Šuplji vijak</v>
      </c>
      <c r="D1911" s="28" t="s">
        <v>11</v>
      </c>
      <c r="E1911" s="29">
        <v>1</v>
      </c>
      <c r="F1911" s="17"/>
    </row>
    <row r="1912" spans="1:9" ht="25.5" customHeight="1" x14ac:dyDescent="0.2">
      <c r="A1912" s="27">
        <v>1910</v>
      </c>
      <c r="B1912" s="29" t="s">
        <v>481</v>
      </c>
      <c r="C1912" s="29" t="str">
        <f ca="1">IFERROR(__xludf.DUMMYFUNCTION("GOOGLETRANSLATE(C1160,""en"",""hr"")"),"Nazuvica za crijevo")</f>
        <v>Nazuvica za crijevo</v>
      </c>
      <c r="D1912" s="28" t="s">
        <v>11</v>
      </c>
      <c r="E1912" s="29">
        <v>1</v>
      </c>
      <c r="F1912" s="17"/>
    </row>
    <row r="1913" spans="1:9" ht="25.5" customHeight="1" x14ac:dyDescent="0.2">
      <c r="A1913" s="27">
        <v>1911</v>
      </c>
      <c r="B1913" s="29" t="s">
        <v>605</v>
      </c>
      <c r="C1913" s="29" t="str">
        <f ca="1">IFERROR(__xludf.DUMMYFUNCTION("GOOGLETRANSLATE(C1847,""en"",""hr"")"),"Nazuvica za crijevo")</f>
        <v>Nazuvica za crijevo</v>
      </c>
      <c r="D1913" s="28" t="s">
        <v>11</v>
      </c>
      <c r="E1913" s="29">
        <v>1</v>
      </c>
      <c r="F1913" s="17"/>
    </row>
    <row r="1914" spans="1:9" ht="25.5" customHeight="1" x14ac:dyDescent="0.2">
      <c r="A1914" s="27">
        <v>1912</v>
      </c>
      <c r="B1914" s="29" t="s">
        <v>1224</v>
      </c>
      <c r="C1914" s="29" t="str">
        <f ca="1">IFERROR(__xludf.DUMMYFUNCTION("GOOGLETRANSLATE(C3867,""en"",""hr"")"),"Okretni zglob")</f>
        <v>Okretni zglob</v>
      </c>
      <c r="D1914" s="28" t="s">
        <v>11</v>
      </c>
      <c r="E1914" s="29">
        <v>1</v>
      </c>
      <c r="F1914" s="17"/>
      <c r="I1914" s="4" t="b">
        <f>INT(F1912*100)=(F1912*100)</f>
        <v>1</v>
      </c>
    </row>
    <row r="1915" spans="1:9" ht="25.5" customHeight="1" x14ac:dyDescent="0.2">
      <c r="A1915" s="27">
        <v>1913</v>
      </c>
      <c r="B1915" s="29" t="s">
        <v>1255</v>
      </c>
      <c r="C1915" s="29" t="str">
        <f ca="1">IFERROR(__xludf.DUMMYFUNCTION("GOOGLETRANSLATE(C3970,""en"",""hr"")"),"Priključak crijeva")</f>
        <v>Priključak crijeva</v>
      </c>
      <c r="D1915" s="28" t="s">
        <v>11</v>
      </c>
      <c r="E1915" s="29">
        <v>1</v>
      </c>
      <c r="F1915" s="17"/>
    </row>
    <row r="1916" spans="1:9" ht="25.5" customHeight="1" x14ac:dyDescent="0.2">
      <c r="A1916" s="27">
        <v>1914</v>
      </c>
      <c r="B1916" s="29" t="s">
        <v>1086</v>
      </c>
      <c r="C1916" s="29" t="str">
        <f ca="1">IFERROR(__xludf.DUMMYFUNCTION("GOOGLETRANSLATE(C3504,""en"",""hr"")"),"O-prsten")</f>
        <v>O-prsten</v>
      </c>
      <c r="D1916" s="28" t="s">
        <v>11</v>
      </c>
      <c r="E1916" s="29">
        <v>1</v>
      </c>
      <c r="F1916" s="17"/>
    </row>
    <row r="1917" spans="1:9" ht="25.5" customHeight="1" x14ac:dyDescent="0.2">
      <c r="A1917" s="27">
        <v>1915</v>
      </c>
      <c r="B1917" s="29" t="s">
        <v>1077</v>
      </c>
      <c r="C1917" s="29" t="str">
        <f ca="1">IFERROR(__xludf.DUMMYFUNCTION("GOOGLETRANSLATE(C3478,""en"",""hr"")"),"brtva")</f>
        <v>brtva</v>
      </c>
      <c r="D1917" s="28" t="s">
        <v>11</v>
      </c>
      <c r="E1917" s="29">
        <v>1</v>
      </c>
      <c r="F1917" s="17"/>
      <c r="I1917" s="4" t="b">
        <f>INT(F1915*100)=(F1915*100)</f>
        <v>1</v>
      </c>
    </row>
    <row r="1918" spans="1:9" ht="25.5" customHeight="1" x14ac:dyDescent="0.2">
      <c r="A1918" s="27">
        <v>1916</v>
      </c>
      <c r="B1918" s="29" t="s">
        <v>1067</v>
      </c>
      <c r="C1918" s="29" t="str">
        <f ca="1">IFERROR(__xludf.DUMMYFUNCTION("GOOGLETRANSLATE(C3468,""en"",""hr"")"),"brtva")</f>
        <v>brtva</v>
      </c>
      <c r="D1918" s="28" t="s">
        <v>11</v>
      </c>
      <c r="E1918" s="29">
        <v>1</v>
      </c>
      <c r="F1918" s="17"/>
    </row>
    <row r="1919" spans="1:9" ht="25.5" customHeight="1" x14ac:dyDescent="0.2">
      <c r="A1919" s="27">
        <v>1917</v>
      </c>
      <c r="B1919" s="29" t="s">
        <v>1372</v>
      </c>
      <c r="C1919" s="29" t="str">
        <f ca="1">IFERROR(__xludf.DUMMYFUNCTION("GOOGLETRANSLATE(C4348,""en"",""hr"")"),"Spojka")</f>
        <v>Spojka</v>
      </c>
      <c r="D1919" s="28" t="s">
        <v>11</v>
      </c>
      <c r="E1919" s="29">
        <v>1</v>
      </c>
      <c r="F1919" s="17"/>
    </row>
    <row r="1920" spans="1:9" ht="25.5" customHeight="1" x14ac:dyDescent="0.2">
      <c r="A1920" s="27">
        <v>1918</v>
      </c>
      <c r="B1920" s="29" t="s">
        <v>1369</v>
      </c>
      <c r="C1920" s="29" t="str">
        <f ca="1">IFERROR(__xludf.DUMMYFUNCTION("GOOGLETRANSLATE(C4345,""en"",""hr"")"),"O-prsten")</f>
        <v>O-prsten</v>
      </c>
      <c r="D1920" s="28" t="s">
        <v>11</v>
      </c>
      <c r="E1920" s="29">
        <v>1</v>
      </c>
      <c r="F1920" s="17"/>
    </row>
    <row r="1921" spans="1:9" ht="25.5" customHeight="1" x14ac:dyDescent="0.2">
      <c r="A1921" s="27">
        <v>1919</v>
      </c>
      <c r="B1921" s="29" t="s">
        <v>1070</v>
      </c>
      <c r="C1921" s="29" t="str">
        <f ca="1">IFERROR(__xludf.DUMMYFUNCTION("GOOGLETRANSLATE(C3471,""en"",""hr"")"),"brtva")</f>
        <v>brtva</v>
      </c>
      <c r="D1921" s="28" t="s">
        <v>11</v>
      </c>
      <c r="E1921" s="29">
        <v>1</v>
      </c>
      <c r="F1921" s="17"/>
      <c r="I1921" s="4" t="b">
        <f>INT(F1919*100)=(F1919*100)</f>
        <v>1</v>
      </c>
    </row>
    <row r="1922" spans="1:9" ht="25.5" customHeight="1" x14ac:dyDescent="0.2">
      <c r="A1922" s="27">
        <v>1920</v>
      </c>
      <c r="B1922" s="29" t="s">
        <v>1098</v>
      </c>
      <c r="C1922" s="29" t="str">
        <f ca="1">IFERROR(__xludf.DUMMYFUNCTION("GOOGLETRANSLATE(C3555,""en"",""hr"")"),"Ravna brtva")</f>
        <v>Ravna brtva</v>
      </c>
      <c r="D1922" s="28" t="s">
        <v>11</v>
      </c>
      <c r="E1922" s="29">
        <v>1</v>
      </c>
      <c r="F1922" s="17"/>
    </row>
    <row r="1923" spans="1:9" ht="25.5" customHeight="1" x14ac:dyDescent="0.2">
      <c r="A1923" s="27">
        <v>1921</v>
      </c>
      <c r="B1923" s="29" t="s">
        <v>1104</v>
      </c>
      <c r="C1923" s="29" t="str">
        <f ca="1">IFERROR(__xludf.DUMMYFUNCTION("GOOGLETRANSLATE(C3574,""en"",""hr"")"),"Navojna kapica")</f>
        <v>Navojna kapica</v>
      </c>
      <c r="D1923" s="28" t="s">
        <v>11</v>
      </c>
      <c r="E1923" s="29">
        <v>1</v>
      </c>
      <c r="F1923" s="17"/>
    </row>
    <row r="1924" spans="1:9" ht="25.5" customHeight="1" x14ac:dyDescent="0.2">
      <c r="A1924" s="27">
        <v>1922</v>
      </c>
      <c r="B1924" s="29" t="s">
        <v>1076</v>
      </c>
      <c r="C1924" s="29" t="str">
        <f ca="1">IFERROR(__xludf.DUMMYFUNCTION("GOOGLETRANSLATE(C3477,""en"",""hr"")"),"Priključak s navojem")</f>
        <v>Priključak s navojem</v>
      </c>
      <c r="D1924" s="28" t="s">
        <v>11</v>
      </c>
      <c r="E1924" s="29">
        <v>1</v>
      </c>
      <c r="F1924" s="17"/>
    </row>
    <row r="1925" spans="1:9" ht="25.5" customHeight="1" x14ac:dyDescent="0.2">
      <c r="A1925" s="27">
        <v>1923</v>
      </c>
      <c r="B1925" s="29" t="s">
        <v>1078</v>
      </c>
      <c r="C1925" s="29" t="str">
        <f ca="1">IFERROR(__xludf.DUMMYFUNCTION("GOOGLETRANSLATE(C3479,""en"",""hr"")"),"Isječak")</f>
        <v>Isječak</v>
      </c>
      <c r="D1925" s="28" t="s">
        <v>11</v>
      </c>
      <c r="E1925" s="29">
        <v>1</v>
      </c>
      <c r="F1925" s="17"/>
    </row>
    <row r="1926" spans="1:9" ht="25.5" customHeight="1" x14ac:dyDescent="0.2">
      <c r="A1926" s="27">
        <v>1924</v>
      </c>
      <c r="B1926" s="29" t="s">
        <v>1085</v>
      </c>
      <c r="C1926" s="29" t="str">
        <f ca="1">IFERROR(__xludf.DUMMYFUNCTION("GOOGLETRANSLATE(C3499,""en"",""hr"")"),"Lakat")</f>
        <v>Lakat</v>
      </c>
      <c r="D1926" s="28" t="s">
        <v>11</v>
      </c>
      <c r="E1926" s="29">
        <v>1</v>
      </c>
      <c r="F1926" s="17"/>
    </row>
    <row r="1927" spans="1:9" ht="25.5" customHeight="1" x14ac:dyDescent="0.2">
      <c r="A1927" s="27">
        <v>1925</v>
      </c>
      <c r="B1927" s="29" t="s">
        <v>1079</v>
      </c>
      <c r="C1927" s="29" t="str">
        <f ca="1">IFERROR(__xludf.DUMMYFUNCTION("GOOGLETRANSLATE(C3480,""en"",""hr"")"),"Lažni utikač")</f>
        <v>Lažni utikač</v>
      </c>
      <c r="D1927" s="28" t="s">
        <v>11</v>
      </c>
      <c r="E1927" s="29">
        <v>1</v>
      </c>
      <c r="F1927" s="17"/>
    </row>
    <row r="1928" spans="1:9" ht="25.5" customHeight="1" x14ac:dyDescent="0.2">
      <c r="A1928" s="27">
        <v>1926</v>
      </c>
      <c r="B1928" s="29" t="s">
        <v>1080</v>
      </c>
      <c r="C1928" s="29" t="str">
        <f ca="1">IFERROR(__xludf.DUMMYFUNCTION("GOOGLETRANSLATE(C3481,""en"",""hr"")"),"brtva")</f>
        <v>brtva</v>
      </c>
      <c r="D1928" s="28" t="s">
        <v>11</v>
      </c>
      <c r="E1928" s="29">
        <v>1</v>
      </c>
      <c r="F1928" s="17"/>
    </row>
    <row r="1929" spans="1:9" ht="25.5" customHeight="1" x14ac:dyDescent="0.2">
      <c r="A1929" s="27">
        <v>1927</v>
      </c>
      <c r="B1929" s="29" t="s">
        <v>1083</v>
      </c>
      <c r="C1929" s="29" t="str">
        <f ca="1">IFERROR(__xludf.DUMMYFUNCTION("GOOGLETRANSLATE(C3492,""en"",""hr"")"),"Priključak crijeva")</f>
        <v>Priključak crijeva</v>
      </c>
      <c r="D1929" s="28" t="s">
        <v>11</v>
      </c>
      <c r="E1929" s="29">
        <v>1</v>
      </c>
      <c r="F1929" s="17"/>
    </row>
    <row r="1930" spans="1:9" ht="25.5" customHeight="1" x14ac:dyDescent="0.2">
      <c r="A1930" s="27">
        <v>1928</v>
      </c>
      <c r="B1930" s="29" t="s">
        <v>1256</v>
      </c>
      <c r="C1930" s="29" t="str">
        <f ca="1">IFERROR(__xludf.DUMMYFUNCTION("GOOGLETRANSLATE(C3971,""en"",""hr"")"),"Priključak crijeva")</f>
        <v>Priključak crijeva</v>
      </c>
      <c r="D1930" s="28" t="s">
        <v>11</v>
      </c>
      <c r="E1930" s="29">
        <v>1</v>
      </c>
      <c r="F1930" s="17"/>
    </row>
    <row r="1931" spans="1:9" ht="25.5" customHeight="1" x14ac:dyDescent="0.2">
      <c r="A1931" s="27">
        <v>1929</v>
      </c>
      <c r="B1931" s="29" t="s">
        <v>1144</v>
      </c>
      <c r="C1931" s="29" t="str">
        <f ca="1">IFERROR(__xludf.DUMMYFUNCTION("GOOGLETRANSLATE(C3707,""en"",""hr"")"),"Priključak crijeva")</f>
        <v>Priključak crijeva</v>
      </c>
      <c r="D1931" s="28" t="s">
        <v>11</v>
      </c>
      <c r="E1931" s="29">
        <v>1</v>
      </c>
      <c r="F1931" s="17"/>
    </row>
    <row r="1932" spans="1:9" ht="25.5" customHeight="1" x14ac:dyDescent="0.2">
      <c r="A1932" s="27">
        <v>1930</v>
      </c>
      <c r="B1932" s="29" t="s">
        <v>1082</v>
      </c>
      <c r="C1932" s="29" t="str">
        <f ca="1">IFERROR(__xludf.DUMMYFUNCTION("GOOGLETRANSLATE(C3491,""en"",""hr"")"),"Priključak crijeva")</f>
        <v>Priključak crijeva</v>
      </c>
      <c r="D1932" s="28" t="s">
        <v>11</v>
      </c>
      <c r="E1932" s="29">
        <v>1</v>
      </c>
      <c r="F1932" s="17"/>
    </row>
    <row r="1933" spans="1:9" ht="25.5" customHeight="1" x14ac:dyDescent="0.2">
      <c r="A1933" s="27">
        <v>1931</v>
      </c>
      <c r="B1933" s="29" t="s">
        <v>1661</v>
      </c>
      <c r="C1933" s="29" t="str">
        <f ca="1">IFERROR(__xludf.DUMMYFUNCTION("GOOGLETRANSLATE(C5651,""en"",""hr"")"),"T-nazuvica za crijevo")</f>
        <v>T-nazuvica za crijevo</v>
      </c>
      <c r="D1933" s="28" t="s">
        <v>11</v>
      </c>
      <c r="E1933" s="29">
        <v>1</v>
      </c>
      <c r="F1933" s="17"/>
    </row>
    <row r="1934" spans="1:9" ht="25.5" customHeight="1" x14ac:dyDescent="0.2">
      <c r="A1934" s="27">
        <v>1932</v>
      </c>
      <c r="B1934" s="29" t="s">
        <v>1371</v>
      </c>
      <c r="C1934" s="29" t="str">
        <f ca="1">IFERROR(__xludf.DUMMYFUNCTION("GOOGLETRANSLATE(C4347,""en"",""hr"")"),"Distributer")</f>
        <v>Distributer</v>
      </c>
      <c r="D1934" s="28" t="s">
        <v>11</v>
      </c>
      <c r="E1934" s="29">
        <v>1</v>
      </c>
      <c r="F1934" s="17"/>
    </row>
    <row r="1935" spans="1:9" ht="25.5" customHeight="1" x14ac:dyDescent="0.2">
      <c r="A1935" s="27">
        <v>1933</v>
      </c>
      <c r="B1935" s="29" t="s">
        <v>1370</v>
      </c>
      <c r="C1935" s="29" t="str">
        <f ca="1">IFERROR(__xludf.DUMMYFUNCTION("GOOGLETRANSLATE(C4346,""en"",""hr"")"),"Utikač")</f>
        <v>Utikač</v>
      </c>
      <c r="D1935" s="28" t="s">
        <v>11</v>
      </c>
      <c r="E1935" s="29">
        <v>1</v>
      </c>
      <c r="F1935" s="17"/>
    </row>
    <row r="1936" spans="1:9" ht="25.5" customHeight="1" x14ac:dyDescent="0.2">
      <c r="A1936" s="27">
        <v>1934</v>
      </c>
      <c r="B1936" s="29" t="s">
        <v>566</v>
      </c>
      <c r="C1936" s="29" t="str">
        <f ca="1">IFERROR(__xludf.DUMMYFUNCTION("GOOGLETRANSLATE(C1582,""en"",""hr"")"),"Nazuvica za crijevo")</f>
        <v>Nazuvica za crijevo</v>
      </c>
      <c r="D1936" s="28" t="s">
        <v>11</v>
      </c>
      <c r="E1936" s="29">
        <v>1</v>
      </c>
      <c r="F1936" s="17"/>
    </row>
    <row r="1937" spans="1:9" ht="25.5" customHeight="1" x14ac:dyDescent="0.2">
      <c r="A1937" s="27">
        <v>1935</v>
      </c>
      <c r="B1937" s="29" t="s">
        <v>567</v>
      </c>
      <c r="C1937" s="29" t="str">
        <f ca="1">IFERROR(__xludf.DUMMYFUNCTION("GOOGLETRANSLATE(C1583,""en"",""hr"")"),"Smanjenje sindikata")</f>
        <v>Smanjenje sindikata</v>
      </c>
      <c r="D1937" s="28" t="s">
        <v>11</v>
      </c>
      <c r="E1937" s="29">
        <v>1</v>
      </c>
      <c r="F1937" s="17"/>
    </row>
    <row r="1938" spans="1:9" ht="25.5" customHeight="1" x14ac:dyDescent="0.2">
      <c r="A1938" s="27">
        <v>1936</v>
      </c>
      <c r="B1938" s="29" t="s">
        <v>368</v>
      </c>
      <c r="C1938" s="29" t="str">
        <f ca="1">IFERROR(__xludf.DUMMYFUNCTION("GOOGLETRANSLATE(C826,""en"",""hr"")"),"Zaštitna kapa")</f>
        <v>Zaštitna kapa</v>
      </c>
      <c r="D1938" s="28" t="s">
        <v>11</v>
      </c>
      <c r="E1938" s="29">
        <v>1</v>
      </c>
      <c r="F1938" s="17"/>
    </row>
    <row r="1939" spans="1:9" ht="25.5" customHeight="1" x14ac:dyDescent="0.2">
      <c r="A1939" s="27">
        <v>1937</v>
      </c>
      <c r="B1939" s="29" t="s">
        <v>515</v>
      </c>
      <c r="C1939" s="29" t="str">
        <f ca="1">IFERROR(__xludf.DUMMYFUNCTION("GOOGLETRANSLATE(C1322,""en"",""hr"")"),"Brza spojka")</f>
        <v>Brza spojka</v>
      </c>
      <c r="D1939" s="28" t="s">
        <v>11</v>
      </c>
      <c r="E1939" s="29">
        <v>1</v>
      </c>
      <c r="F1939" s="17"/>
    </row>
    <row r="1940" spans="1:9" ht="25.5" customHeight="1" x14ac:dyDescent="0.2">
      <c r="A1940" s="27">
        <v>1938</v>
      </c>
      <c r="B1940" s="29" t="s">
        <v>514</v>
      </c>
      <c r="C1940" s="29" t="str">
        <f ca="1">IFERROR(__xludf.DUMMYFUNCTION("GOOGLETRANSLATE(C1321,""en"",""hr"")"),"Brza spojka")</f>
        <v>Brza spojka</v>
      </c>
      <c r="D1940" s="28" t="s">
        <v>11</v>
      </c>
      <c r="E1940" s="29">
        <v>1</v>
      </c>
      <c r="F1940" s="17"/>
      <c r="I1940" s="4" t="b">
        <f>INT(F1938*100)=(F1938*100)</f>
        <v>1</v>
      </c>
    </row>
    <row r="1941" spans="1:9" ht="25.5" customHeight="1" x14ac:dyDescent="0.2">
      <c r="A1941" s="27">
        <v>1939</v>
      </c>
      <c r="B1941" s="29" t="s">
        <v>1285</v>
      </c>
      <c r="C1941" s="29" t="str">
        <f ca="1">IFERROR(__xludf.DUMMYFUNCTION("GOOGLETRANSLATE(C4018,""en"",""hr"")"),"Autobusni bar")</f>
        <v>Autobusni bar</v>
      </c>
      <c r="D1941" s="28" t="s">
        <v>11</v>
      </c>
      <c r="E1941" s="29">
        <v>1</v>
      </c>
      <c r="F1941" s="17"/>
    </row>
    <row r="1942" spans="1:9" ht="25.5" customHeight="1" x14ac:dyDescent="0.2">
      <c r="A1942" s="27">
        <v>1940</v>
      </c>
      <c r="B1942" s="29" t="s">
        <v>1431</v>
      </c>
      <c r="C1942" s="29" t="str">
        <f ca="1">IFERROR(__xludf.DUMMYFUNCTION("GOOGLETRANSLATE(C4650,""en"",""hr"")"),"Poklopac")</f>
        <v>Poklopac</v>
      </c>
      <c r="D1942" s="28" t="s">
        <v>11</v>
      </c>
      <c r="E1942" s="29">
        <v>1</v>
      </c>
      <c r="F1942" s="17"/>
    </row>
    <row r="1943" spans="1:9" ht="25.5" customHeight="1" x14ac:dyDescent="0.2">
      <c r="A1943" s="27">
        <v>1941</v>
      </c>
      <c r="B1943" s="29" t="s">
        <v>238</v>
      </c>
      <c r="C1943" s="29" t="str">
        <f ca="1">IFERROR(__xludf.DUMMYFUNCTION("GOOGLETRANSLATE(C503,""en"",""hr"")"),"Cu brtva")</f>
        <v>Cu brtva</v>
      </c>
      <c r="D1943" s="28" t="s">
        <v>11</v>
      </c>
      <c r="E1943" s="29">
        <v>1</v>
      </c>
      <c r="F1943" s="17"/>
      <c r="I1943" s="4" t="b">
        <f>INT(F1941*100)=(F1941*100)</f>
        <v>1</v>
      </c>
    </row>
    <row r="1944" spans="1:9" ht="25.5" customHeight="1" x14ac:dyDescent="0.2">
      <c r="A1944" s="27">
        <v>1942</v>
      </c>
      <c r="B1944" s="29" t="s">
        <v>357</v>
      </c>
      <c r="C1944" s="29" t="str">
        <f ca="1">IFERROR(__xludf.DUMMYFUNCTION("GOOGLETRANSLATE(C815,""en"",""hr"")"),"Cu brtva")</f>
        <v>Cu brtva</v>
      </c>
      <c r="D1944" s="28" t="s">
        <v>11</v>
      </c>
      <c r="E1944" s="29">
        <v>1</v>
      </c>
      <c r="F1944" s="17"/>
    </row>
    <row r="1945" spans="1:9" ht="25.5" customHeight="1" x14ac:dyDescent="0.2">
      <c r="A1945" s="27">
        <v>1943</v>
      </c>
      <c r="B1945" s="29" t="s">
        <v>267</v>
      </c>
      <c r="C1945" s="29" t="str">
        <f ca="1">IFERROR(__xludf.DUMMYFUNCTION("GOOGLETRANSLATE(C581,""en"",""hr"")"),"Cu brtva")</f>
        <v>Cu brtva</v>
      </c>
      <c r="D1945" s="28" t="s">
        <v>11</v>
      </c>
      <c r="E1945" s="29">
        <v>1</v>
      </c>
      <c r="F1945" s="17"/>
    </row>
    <row r="1946" spans="1:9" ht="25.5" customHeight="1" x14ac:dyDescent="0.2">
      <c r="A1946" s="27">
        <v>1944</v>
      </c>
      <c r="B1946" s="29" t="s">
        <v>269</v>
      </c>
      <c r="C1946" s="29" t="str">
        <f ca="1">IFERROR(__xludf.DUMMYFUNCTION("GOOGLETRANSLATE(C597,""en"",""hr"")"),"brtva")</f>
        <v>brtva</v>
      </c>
      <c r="D1946" s="28" t="s">
        <v>11</v>
      </c>
      <c r="E1946" s="29">
        <v>1</v>
      </c>
      <c r="F1946" s="17"/>
    </row>
    <row r="1947" spans="1:9" ht="25.5" customHeight="1" x14ac:dyDescent="0.2">
      <c r="A1947" s="27">
        <v>1945</v>
      </c>
      <c r="B1947" s="29" t="s">
        <v>438</v>
      </c>
      <c r="C1947" s="29" t="str">
        <f ca="1">IFERROR(__xludf.DUMMYFUNCTION("GOOGLETRANSLATE(C1054,""en"",""hr"")"),"Cu brtva")</f>
        <v>Cu brtva</v>
      </c>
      <c r="D1947" s="28" t="s">
        <v>11</v>
      </c>
      <c r="E1947" s="29">
        <v>1</v>
      </c>
      <c r="F1947" s="17"/>
      <c r="I1947" s="4" t="b">
        <f>INT(F1945*100)=(F1945*100)</f>
        <v>1</v>
      </c>
    </row>
    <row r="1948" spans="1:9" ht="25.5" customHeight="1" x14ac:dyDescent="0.2">
      <c r="A1948" s="27">
        <v>1946</v>
      </c>
      <c r="B1948" s="29" t="s">
        <v>264</v>
      </c>
      <c r="C1948" s="29" t="str">
        <f ca="1">IFERROR(__xludf.DUMMYFUNCTION("GOOGLETRANSLATE(C578,""en"",""hr"")"),"Cu brtva")</f>
        <v>Cu brtva</v>
      </c>
      <c r="D1948" s="28" t="s">
        <v>11</v>
      </c>
      <c r="E1948" s="29">
        <v>1</v>
      </c>
      <c r="F1948" s="17"/>
    </row>
    <row r="1949" spans="1:9" ht="25.5" customHeight="1" x14ac:dyDescent="0.2">
      <c r="A1949" s="27">
        <v>1947</v>
      </c>
      <c r="B1949" s="29" t="s">
        <v>362</v>
      </c>
      <c r="C1949" s="29" t="str">
        <f ca="1">IFERROR(__xludf.DUMMYFUNCTION("GOOGLETRANSLATE(C820,""en"",""hr"")"),"Cu brtva")</f>
        <v>Cu brtva</v>
      </c>
      <c r="D1949" s="28" t="s">
        <v>11</v>
      </c>
      <c r="E1949" s="29">
        <v>1</v>
      </c>
      <c r="F1949" s="17"/>
    </row>
    <row r="1950" spans="1:9" ht="25.5" customHeight="1" x14ac:dyDescent="0.2">
      <c r="A1950" s="27">
        <v>1948</v>
      </c>
      <c r="B1950" s="29" t="s">
        <v>123</v>
      </c>
      <c r="C1950" s="29" t="str">
        <f ca="1">IFERROR(__xludf.DUMMYFUNCTION("GOOGLETRANSLATE(C253,""en"",""hr"")"),"Cu brtva")</f>
        <v>Cu brtva</v>
      </c>
      <c r="D1950" s="28" t="s">
        <v>11</v>
      </c>
      <c r="E1950" s="29">
        <v>1</v>
      </c>
      <c r="F1950" s="17"/>
    </row>
    <row r="1951" spans="1:9" ht="25.5" customHeight="1" x14ac:dyDescent="0.2">
      <c r="A1951" s="27">
        <v>1949</v>
      </c>
      <c r="B1951" s="29" t="s">
        <v>394</v>
      </c>
      <c r="C1951" s="29" t="str">
        <f ca="1">IFERROR(__xludf.DUMMYFUNCTION("GOOGLETRANSLATE(C927,""en"",""hr"")"),"Cu brtva")</f>
        <v>Cu brtva</v>
      </c>
      <c r="D1951" s="28" t="s">
        <v>11</v>
      </c>
      <c r="E1951" s="29">
        <v>1</v>
      </c>
      <c r="F1951" s="17"/>
    </row>
    <row r="1952" spans="1:9" ht="25.5" customHeight="1" x14ac:dyDescent="0.2">
      <c r="A1952" s="27">
        <v>1950</v>
      </c>
      <c r="B1952" s="29" t="s">
        <v>486</v>
      </c>
      <c r="C1952" s="29" t="str">
        <f ca="1">IFERROR(__xludf.DUMMYFUNCTION("GOOGLETRANSLATE(C1178,""en"",""hr"")"),"Podloška za zaključavanje")</f>
        <v>Podloška za zaključavanje</v>
      </c>
      <c r="D1952" s="28" t="s">
        <v>11</v>
      </c>
      <c r="E1952" s="29">
        <v>1</v>
      </c>
      <c r="F1952" s="17"/>
    </row>
    <row r="1953" spans="1:9" ht="25.5" customHeight="1" x14ac:dyDescent="0.2">
      <c r="A1953" s="27">
        <v>1951</v>
      </c>
      <c r="B1953" s="29" t="s">
        <v>1316</v>
      </c>
      <c r="C1953" s="29" t="str">
        <f ca="1">IFERROR(__xludf.DUMMYFUNCTION("GOOGLETRANSLATE(C4153,""en"",""hr"")"),"Podloška za zaključavanje")</f>
        <v>Podloška za zaključavanje</v>
      </c>
      <c r="D1953" s="28" t="s">
        <v>11</v>
      </c>
      <c r="E1953" s="29">
        <v>1</v>
      </c>
      <c r="F1953" s="17"/>
    </row>
    <row r="1954" spans="1:9" ht="25.5" customHeight="1" x14ac:dyDescent="0.2">
      <c r="A1954" s="27">
        <v>1952</v>
      </c>
      <c r="B1954" s="29" t="s">
        <v>1345</v>
      </c>
      <c r="C1954" s="29" t="str">
        <f ca="1">IFERROR(__xludf.DUMMYFUNCTION("GOOGLETRANSLATE(C4237,""en"",""hr"")"),"Opružna podloška")</f>
        <v>Opružna podloška</v>
      </c>
      <c r="D1954" s="28" t="s">
        <v>11</v>
      </c>
      <c r="E1954" s="29">
        <v>1</v>
      </c>
      <c r="F1954" s="17"/>
    </row>
    <row r="1955" spans="1:9" ht="25.5" customHeight="1" x14ac:dyDescent="0.2">
      <c r="A1955" s="27">
        <v>1953</v>
      </c>
      <c r="B1955" s="29" t="s">
        <v>1558</v>
      </c>
      <c r="C1955" s="29" t="str">
        <f ca="1">IFERROR(__xludf.DUMMYFUNCTION("GOOGLETRANSLATE(C5311,""en"",""hr"")"),"Set stezaljki za prsten")</f>
        <v>Set stezaljki za prsten</v>
      </c>
      <c r="D1955" s="28" t="s">
        <v>11</v>
      </c>
      <c r="E1955" s="29">
        <v>1</v>
      </c>
      <c r="F1955" s="17"/>
    </row>
    <row r="1956" spans="1:9" ht="25.5" customHeight="1" x14ac:dyDescent="0.2">
      <c r="A1956" s="27">
        <v>1954</v>
      </c>
      <c r="B1956" s="29" t="s">
        <v>53</v>
      </c>
      <c r="C1956" s="29" t="str">
        <f ca="1">IFERROR(__xludf.DUMMYFUNCTION("GOOGLETRANSLATE(C145,""en"",""hr"")"),"Vijak kotača")</f>
        <v>Vijak kotača</v>
      </c>
      <c r="D1956" s="28" t="s">
        <v>11</v>
      </c>
      <c r="E1956" s="29">
        <v>1</v>
      </c>
      <c r="F1956" s="17"/>
    </row>
    <row r="1957" spans="1:9" ht="25.5" customHeight="1" x14ac:dyDescent="0.2">
      <c r="A1957" s="27">
        <v>1955</v>
      </c>
      <c r="B1957" s="29" t="s">
        <v>185</v>
      </c>
      <c r="C1957" s="29" t="str">
        <f ca="1">IFERROR(__xludf.DUMMYFUNCTION("GOOGLETRANSLATE(C375,""en"",""hr"")"),"Lanci za snijeg 215/75 R16, 1 par")</f>
        <v>Lanci za snijeg 215/75 R16, 1 par</v>
      </c>
      <c r="D1957" s="28" t="s">
        <v>11</v>
      </c>
      <c r="E1957" s="29">
        <v>1</v>
      </c>
      <c r="F1957" s="17"/>
    </row>
    <row r="1958" spans="1:9" ht="25.5" customHeight="1" x14ac:dyDescent="0.2">
      <c r="A1958" s="27">
        <v>1956</v>
      </c>
      <c r="B1958" s="29" t="s">
        <v>812</v>
      </c>
      <c r="C1958" s="29" t="str">
        <f ca="1">IFERROR(__xludf.DUMMYFUNCTION("GOOGLETRANSLATE(C2462,""en"",""hr"")"),"Shim")</f>
        <v>Shim</v>
      </c>
      <c r="D1958" s="28" t="s">
        <v>11</v>
      </c>
      <c r="E1958" s="29">
        <v>1</v>
      </c>
      <c r="F1958" s="17"/>
    </row>
    <row r="1959" spans="1:9" ht="25.5" customHeight="1" x14ac:dyDescent="0.2">
      <c r="A1959" s="27">
        <v>1957</v>
      </c>
      <c r="B1959" s="29" t="s">
        <v>813</v>
      </c>
      <c r="C1959" s="29" t="str">
        <f ca="1">IFERROR(__xludf.DUMMYFUNCTION("GOOGLETRANSLATE(C2463,""en"",""hr"")"),"Shim")</f>
        <v>Shim</v>
      </c>
      <c r="D1959" s="28" t="s">
        <v>11</v>
      </c>
      <c r="E1959" s="29">
        <v>1</v>
      </c>
      <c r="F1959" s="17"/>
    </row>
    <row r="1960" spans="1:9" ht="25.5" customHeight="1" x14ac:dyDescent="0.2">
      <c r="A1960" s="27">
        <v>1958</v>
      </c>
      <c r="B1960" s="29" t="s">
        <v>788</v>
      </c>
      <c r="C1960" s="29" t="str">
        <f ca="1">IFERROR(__xludf.DUMMYFUNCTION("GOOGLETRANSLATE(C2418,""en"",""hr"")"),"Shim")</f>
        <v>Shim</v>
      </c>
      <c r="D1960" s="28" t="s">
        <v>11</v>
      </c>
      <c r="E1960" s="29">
        <v>1</v>
      </c>
      <c r="F1960" s="17"/>
    </row>
    <row r="1961" spans="1:9" ht="25.5" customHeight="1" x14ac:dyDescent="0.2">
      <c r="A1961" s="27">
        <v>1959</v>
      </c>
      <c r="B1961" s="29" t="s">
        <v>791</v>
      </c>
      <c r="C1961" s="29" t="str">
        <f ca="1">IFERROR(__xludf.DUMMYFUNCTION("GOOGLETRANSLATE(C2421,""en"",""hr"")"),"Shim")</f>
        <v>Shim</v>
      </c>
      <c r="D1961" s="28" t="s">
        <v>11</v>
      </c>
      <c r="E1961" s="29">
        <v>1</v>
      </c>
      <c r="F1961" s="17"/>
    </row>
    <row r="1962" spans="1:9" ht="25.5" customHeight="1" x14ac:dyDescent="0.2">
      <c r="A1962" s="27">
        <v>1960</v>
      </c>
      <c r="B1962" s="29" t="s">
        <v>998</v>
      </c>
      <c r="C1962" s="29" t="str">
        <f ca="1">IFERROR(__xludf.DUMMYFUNCTION("GOOGLETRANSLATE(C3186,""en"",""hr"")"),"Perilica")</f>
        <v>Perilica</v>
      </c>
      <c r="D1962" s="28" t="s">
        <v>11</v>
      </c>
      <c r="E1962" s="29">
        <v>1</v>
      </c>
      <c r="F1962" s="17"/>
    </row>
    <row r="1963" spans="1:9" ht="25.5" customHeight="1" x14ac:dyDescent="0.2">
      <c r="A1963" s="27">
        <v>1961</v>
      </c>
      <c r="B1963" s="29" t="s">
        <v>902</v>
      </c>
      <c r="C1963" s="29" t="str">
        <f ca="1">IFERROR(__xludf.DUMMYFUNCTION("GOOGLETRANSLATE(C2673,""en"",""hr"")"),"Perilica")</f>
        <v>Perilica</v>
      </c>
      <c r="D1963" s="28" t="s">
        <v>11</v>
      </c>
      <c r="E1963" s="29">
        <v>1</v>
      </c>
      <c r="F1963" s="17"/>
    </row>
    <row r="1964" spans="1:9" ht="25.5" customHeight="1" x14ac:dyDescent="0.2">
      <c r="A1964" s="27">
        <v>1962</v>
      </c>
      <c r="B1964" s="29" t="s">
        <v>1493</v>
      </c>
      <c r="C1964" s="29" t="str">
        <f ca="1">IFERROR(__xludf.DUMMYFUNCTION("GOOGLETRANSLATE(C5017,""en"",""hr"")"),"Perilica")</f>
        <v>Perilica</v>
      </c>
      <c r="D1964" s="28" t="s">
        <v>11</v>
      </c>
      <c r="E1964" s="29">
        <v>1</v>
      </c>
      <c r="F1964" s="17"/>
    </row>
    <row r="1965" spans="1:9" ht="25.5" customHeight="1" x14ac:dyDescent="0.2">
      <c r="A1965" s="27">
        <v>1963</v>
      </c>
      <c r="B1965" s="29" t="s">
        <v>213</v>
      </c>
      <c r="C1965" s="29" t="str">
        <f ca="1">IFERROR(__xludf.DUMMYFUNCTION("GOOGLETRANSLATE(C449,""en"",""hr"")"),"Perilica")</f>
        <v>Perilica</v>
      </c>
      <c r="D1965" s="28" t="s">
        <v>11</v>
      </c>
      <c r="E1965" s="29">
        <v>1</v>
      </c>
      <c r="F1965" s="17"/>
      <c r="I1965" s="4" t="b">
        <f>INT(F1963*100)=(F1963*100)</f>
        <v>1</v>
      </c>
    </row>
    <row r="1966" spans="1:9" ht="25.5" customHeight="1" x14ac:dyDescent="0.2">
      <c r="A1966" s="27">
        <v>1964</v>
      </c>
      <c r="B1966" s="29" t="s">
        <v>811</v>
      </c>
      <c r="C1966" s="29" t="str">
        <f ca="1">IFERROR(__xludf.DUMMYFUNCTION("GOOGLETRANSLATE(C2461,""en"",""hr"")"),"Perilica")</f>
        <v>Perilica</v>
      </c>
      <c r="D1966" s="28" t="s">
        <v>11</v>
      </c>
      <c r="E1966" s="29">
        <v>1</v>
      </c>
      <c r="F1966" s="17"/>
    </row>
    <row r="1967" spans="1:9" ht="25.5" customHeight="1" x14ac:dyDescent="0.2">
      <c r="A1967" s="27">
        <v>1965</v>
      </c>
      <c r="B1967" s="29" t="s">
        <v>966</v>
      </c>
      <c r="C1967" s="29" t="str">
        <f ca="1">IFERROR(__xludf.DUMMYFUNCTION("GOOGLETRANSLATE(C3073,""en"",""hr"")"),"Perilica")</f>
        <v>Perilica</v>
      </c>
      <c r="D1967" s="28" t="s">
        <v>11</v>
      </c>
      <c r="E1967" s="29">
        <v>1</v>
      </c>
      <c r="F1967" s="17"/>
    </row>
    <row r="1968" spans="1:9" ht="25.5" customHeight="1" x14ac:dyDescent="0.2">
      <c r="A1968" s="27">
        <v>1966</v>
      </c>
      <c r="B1968" s="29" t="s">
        <v>425</v>
      </c>
      <c r="C1968" s="29" t="str">
        <f ca="1">IFERROR(__xludf.DUMMYFUNCTION("GOOGLETRANSLATE(C1008,""en"",""hr"")"),"Perilica")</f>
        <v>Perilica</v>
      </c>
      <c r="D1968" s="28" t="s">
        <v>11</v>
      </c>
      <c r="E1968" s="29">
        <v>1</v>
      </c>
      <c r="F1968" s="17"/>
      <c r="I1968" s="4" t="b">
        <f>INT(F1966*100)=(F1966*100)</f>
        <v>1</v>
      </c>
    </row>
    <row r="1969" spans="1:9" ht="25.5" customHeight="1" x14ac:dyDescent="0.2">
      <c r="A1969" s="27">
        <v>1967</v>
      </c>
      <c r="B1969" s="29" t="s">
        <v>622</v>
      </c>
      <c r="C1969" s="29" t="str">
        <f ca="1">IFERROR(__xludf.DUMMYFUNCTION("GOOGLETRANSLATE(C1931,""en"",""hr"")"),"Paralelni ključ")</f>
        <v>Paralelni ključ</v>
      </c>
      <c r="D1969" s="28" t="s">
        <v>11</v>
      </c>
      <c r="E1969" s="29">
        <v>1</v>
      </c>
      <c r="F1969" s="17"/>
    </row>
    <row r="1970" spans="1:9" ht="25.5" customHeight="1" x14ac:dyDescent="0.2">
      <c r="A1970" s="27">
        <v>1968</v>
      </c>
      <c r="B1970" s="29" t="s">
        <v>787</v>
      </c>
      <c r="C1970" s="29" t="str">
        <f ca="1">IFERROR(__xludf.DUMMYFUNCTION("GOOGLETRANSLATE(C2417,""en"",""hr"")"),"Disk udaljenosti")</f>
        <v>Disk udaljenosti</v>
      </c>
      <c r="D1970" s="28" t="s">
        <v>11</v>
      </c>
      <c r="E1970" s="29">
        <v>1</v>
      </c>
      <c r="F1970" s="17"/>
    </row>
    <row r="1971" spans="1:9" ht="25.5" customHeight="1" x14ac:dyDescent="0.2">
      <c r="A1971" s="27">
        <v>1969</v>
      </c>
      <c r="B1971" s="29" t="s">
        <v>1042</v>
      </c>
      <c r="C1971" s="29" t="str">
        <f ca="1">IFERROR(__xludf.DUMMYFUNCTION("GOOGLETRANSLATE(C3413,""en"",""hr"")"),"Stezni prsten")</f>
        <v>Stezni prsten</v>
      </c>
      <c r="D1971" s="28" t="s">
        <v>11</v>
      </c>
      <c r="E1971" s="29">
        <v>1</v>
      </c>
      <c r="F1971" s="17"/>
    </row>
    <row r="1972" spans="1:9" ht="25.5" customHeight="1" x14ac:dyDescent="0.2">
      <c r="A1972" s="27">
        <v>1970</v>
      </c>
      <c r="B1972" s="29" t="s">
        <v>999</v>
      </c>
      <c r="C1972" s="29" t="str">
        <f ca="1">IFERROR(__xludf.DUMMYFUNCTION("GOOGLETRANSLATE(C3188,""en"",""hr"")"),"Frikcijski ležaj")</f>
        <v>Frikcijski ležaj</v>
      </c>
      <c r="D1972" s="28" t="s">
        <v>11</v>
      </c>
      <c r="E1972" s="29">
        <v>1</v>
      </c>
      <c r="F1972" s="17"/>
      <c r="I1972" s="4" t="b">
        <f>INT(F1970*100)=(F1970*100)</f>
        <v>1</v>
      </c>
    </row>
    <row r="1973" spans="1:9" ht="25.5" customHeight="1" x14ac:dyDescent="0.2">
      <c r="A1973" s="27">
        <v>1971</v>
      </c>
      <c r="B1973" s="29" t="s">
        <v>1893</v>
      </c>
      <c r="C1973" s="29" t="str">
        <f ca="1">IFERROR(__xludf.DUMMYFUNCTION("GOOGLETRANSLATE(C6611,""en"",""hr"")"),"Zaštitni čep")</f>
        <v>Zaštitni čep</v>
      </c>
      <c r="D1973" s="28" t="s">
        <v>11</v>
      </c>
      <c r="E1973" s="29">
        <v>1</v>
      </c>
      <c r="F1973" s="17"/>
    </row>
    <row r="1974" spans="1:9" ht="25.5" customHeight="1" x14ac:dyDescent="0.2">
      <c r="A1974" s="27">
        <v>1972</v>
      </c>
      <c r="B1974" s="29" t="s">
        <v>620</v>
      </c>
      <c r="C1974" s="29" t="str">
        <f ca="1">IFERROR(__xludf.DUMMYFUNCTION("GOOGLETRANSLATE(C1925,""en"",""hr"")"),"Zaštitni čep")</f>
        <v>Zaštitni čep</v>
      </c>
      <c r="D1974" s="28" t="s">
        <v>11</v>
      </c>
      <c r="E1974" s="29">
        <v>1</v>
      </c>
      <c r="F1974" s="17"/>
    </row>
    <row r="1975" spans="1:9" ht="25.5" customHeight="1" x14ac:dyDescent="0.2">
      <c r="A1975" s="27">
        <v>1973</v>
      </c>
      <c r="B1975" s="29" t="s">
        <v>21</v>
      </c>
      <c r="C1975" s="29" t="str">
        <f ca="1">IFERROR(__xludf.DUMMYFUNCTION("GOOGLETRANSLATE(C17,""en"",""hr"")"),"Ventil za prašinu, filter zraka")</f>
        <v>Ventil za prašinu, filter zraka</v>
      </c>
      <c r="D1975" s="28" t="s">
        <v>11</v>
      </c>
      <c r="E1975" s="29">
        <v>1</v>
      </c>
      <c r="F1975" s="17"/>
    </row>
    <row r="1976" spans="1:9" ht="25.5" customHeight="1" x14ac:dyDescent="0.2">
      <c r="A1976" s="27">
        <v>1974</v>
      </c>
      <c r="B1976" s="29" t="s">
        <v>1213</v>
      </c>
      <c r="C1976" s="29" t="str">
        <f ca="1">IFERROR(__xludf.DUMMYFUNCTION("GOOGLETRANSLATE(C3842,""en"",""hr"")"),"Crijevo")</f>
        <v>Crijevo</v>
      </c>
      <c r="D1976" s="28" t="s">
        <v>11</v>
      </c>
      <c r="E1976" s="29">
        <v>1</v>
      </c>
      <c r="F1976" s="17"/>
    </row>
    <row r="1977" spans="1:9" ht="25.5" customHeight="1" x14ac:dyDescent="0.2">
      <c r="A1977" s="27">
        <v>1975</v>
      </c>
      <c r="B1977" s="29" t="s">
        <v>1258</v>
      </c>
      <c r="C1977" s="29" t="str">
        <f ca="1">IFERROR(__xludf.DUMMYFUNCTION("GOOGLETRANSLATE(C3979,""en"",""hr"")"),"Crijevo po metru")</f>
        <v>Crijevo po metru</v>
      </c>
      <c r="D1977" s="28" t="s">
        <v>11</v>
      </c>
      <c r="E1977" s="29">
        <v>1</v>
      </c>
      <c r="F1977" s="17"/>
    </row>
    <row r="1978" spans="1:9" ht="25.5" customHeight="1" x14ac:dyDescent="0.2">
      <c r="A1978" s="27">
        <v>1976</v>
      </c>
      <c r="B1978" s="29" t="s">
        <v>1137</v>
      </c>
      <c r="C1978" s="29" t="str">
        <f ca="1">IFERROR(__xludf.DUMMYFUNCTION("GOOGLETRANSLATE(C3695,""en"",""hr"")"),"Crijevo po metru")</f>
        <v>Crijevo po metru</v>
      </c>
      <c r="D1978" s="28" t="s">
        <v>11</v>
      </c>
      <c r="E1978" s="29">
        <v>1</v>
      </c>
      <c r="F1978" s="17"/>
    </row>
    <row r="1979" spans="1:9" ht="25.5" customHeight="1" x14ac:dyDescent="0.2">
      <c r="A1979" s="27">
        <v>1977</v>
      </c>
      <c r="B1979" s="29" t="s">
        <v>1138</v>
      </c>
      <c r="C1979" s="29" t="str">
        <f ca="1">IFERROR(__xludf.DUMMYFUNCTION("GOOGLETRANSLATE(C3699,""en"",""hr"")"),"Crijevo po metru")</f>
        <v>Crijevo po metru</v>
      </c>
      <c r="D1979" s="28" t="s">
        <v>11</v>
      </c>
      <c r="E1979" s="29">
        <v>1</v>
      </c>
      <c r="F1979" s="17"/>
    </row>
    <row r="1980" spans="1:9" ht="25.5" customHeight="1" x14ac:dyDescent="0.2">
      <c r="A1980" s="27">
        <v>1978</v>
      </c>
      <c r="B1980" s="29" t="s">
        <v>1538</v>
      </c>
      <c r="C1980" s="29" t="str">
        <f ca="1">IFERROR(__xludf.DUMMYFUNCTION("GOOGLETRANSLATE(C5232,""en"",""hr"")"),"Crijevo po metru")</f>
        <v>Crijevo po metru</v>
      </c>
      <c r="D1980" s="28" t="s">
        <v>11</v>
      </c>
      <c r="E1980" s="29">
        <v>1</v>
      </c>
      <c r="F1980" s="17"/>
    </row>
    <row r="1981" spans="1:9" ht="25.5" customHeight="1" x14ac:dyDescent="0.2">
      <c r="A1981" s="27">
        <v>1979</v>
      </c>
      <c r="B1981" s="29" t="s">
        <v>1100</v>
      </c>
      <c r="C1981" s="29" t="str">
        <f ca="1">IFERROR(__xludf.DUMMYFUNCTION("GOOGLETRANSLATE(C3558,""en"",""hr"")"),"Spiralno crijevo")</f>
        <v>Spiralno crijevo</v>
      </c>
      <c r="D1981" s="28" t="s">
        <v>11</v>
      </c>
      <c r="E1981" s="29">
        <v>1</v>
      </c>
      <c r="F1981" s="17"/>
    </row>
    <row r="1982" spans="1:9" ht="25.5" customHeight="1" x14ac:dyDescent="0.2">
      <c r="A1982" s="27">
        <v>1980</v>
      </c>
      <c r="B1982" s="29" t="s">
        <v>1635</v>
      </c>
      <c r="C1982" s="29" t="str">
        <f ca="1">IFERROR(__xludf.DUMMYFUNCTION("GOOGLETRANSLATE(C5500,""en"",""hr"")"),"Brtvena traka po metru")</f>
        <v>Brtvena traka po metru</v>
      </c>
      <c r="D1982" s="28" t="s">
        <v>11</v>
      </c>
      <c r="E1982" s="29">
        <v>1</v>
      </c>
      <c r="F1982" s="17"/>
    </row>
    <row r="1983" spans="1:9" ht="25.5" customHeight="1" x14ac:dyDescent="0.2">
      <c r="A1983" s="27">
        <v>1981</v>
      </c>
      <c r="B1983" s="29" t="s">
        <v>1636</v>
      </c>
      <c r="C1983" s="29" t="str">
        <f ca="1">IFERROR(__xludf.DUMMYFUNCTION("GOOGLETRANSLATE(C5502,""en"",""hr"")"),"Brtvena traka po metru")</f>
        <v>Brtvena traka po metru</v>
      </c>
      <c r="D1983" s="28" t="s">
        <v>11</v>
      </c>
      <c r="E1983" s="29">
        <v>1</v>
      </c>
      <c r="F1983" s="17"/>
    </row>
    <row r="1984" spans="1:9" ht="25.5" customHeight="1" x14ac:dyDescent="0.2">
      <c r="A1984" s="27">
        <v>1982</v>
      </c>
      <c r="B1984" s="29" t="s">
        <v>1040</v>
      </c>
      <c r="C1984" s="29" t="str">
        <f ca="1">IFERROR(__xludf.DUMMYFUNCTION("GOOGLETRANSLATE(C3403,""en"",""hr"")"),"Brtvena traka po metru")</f>
        <v>Brtvena traka po metru</v>
      </c>
      <c r="D1984" s="28" t="s">
        <v>11</v>
      </c>
      <c r="E1984" s="29">
        <v>1</v>
      </c>
      <c r="F1984" s="17"/>
    </row>
    <row r="1985" spans="1:9" ht="25.5" customHeight="1" x14ac:dyDescent="0.2">
      <c r="A1985" s="27">
        <v>1983</v>
      </c>
      <c r="B1985" s="29" t="s">
        <v>1399</v>
      </c>
      <c r="C1985" s="29" t="str">
        <f ca="1">IFERROR(__xludf.DUMMYFUNCTION("GOOGLETRANSLATE(C4499,""en"",""hr"")"),"Brtvena traka po metru")</f>
        <v>Brtvena traka po metru</v>
      </c>
      <c r="D1985" s="28" t="s">
        <v>11</v>
      </c>
      <c r="E1985" s="29">
        <v>1</v>
      </c>
      <c r="F1985" s="17"/>
    </row>
    <row r="1986" spans="1:9" ht="25.5" customHeight="1" x14ac:dyDescent="0.2">
      <c r="A1986" s="27">
        <v>1984</v>
      </c>
      <c r="B1986" s="29" t="s">
        <v>1365</v>
      </c>
      <c r="C1986" s="29" t="str">
        <f ca="1">IFERROR(__xludf.DUMMYFUNCTION("GOOGLETRANSLATE(C4326,""en"",""hr"")"),"Brtvena traka po metru")</f>
        <v>Brtvena traka po metru</v>
      </c>
      <c r="D1986" s="28" t="s">
        <v>11</v>
      </c>
      <c r="E1986" s="29">
        <v>1</v>
      </c>
      <c r="F1986" s="17"/>
    </row>
    <row r="1987" spans="1:9" ht="25.5" customHeight="1" x14ac:dyDescent="0.2">
      <c r="A1987" s="27">
        <v>1985</v>
      </c>
      <c r="B1987" s="29" t="s">
        <v>1435</v>
      </c>
      <c r="C1987" s="29" t="str">
        <f ca="1">IFERROR(__xludf.DUMMYFUNCTION("GOOGLETRANSLATE(C4668,""en"",""hr"")"),"Utikač")</f>
        <v>Utikač</v>
      </c>
      <c r="D1987" s="28" t="s">
        <v>11</v>
      </c>
      <c r="E1987" s="29">
        <v>1</v>
      </c>
      <c r="F1987" s="17"/>
    </row>
    <row r="1988" spans="1:9" ht="25.5" customHeight="1" x14ac:dyDescent="0.2">
      <c r="A1988" s="27">
        <v>1986</v>
      </c>
      <c r="B1988" s="29" t="s">
        <v>1357</v>
      </c>
      <c r="C1988" s="29" t="str">
        <f ca="1">IFERROR(__xludf.DUMMYFUNCTION("GOOGLETRANSLATE(C4304,""en"",""hr"")"),"Letvičasti čep")</f>
        <v>Letvičasti čep</v>
      </c>
      <c r="D1988" s="28" t="s">
        <v>11</v>
      </c>
      <c r="E1988" s="29">
        <v>1</v>
      </c>
      <c r="F1988" s="17"/>
    </row>
    <row r="1989" spans="1:9" ht="25.5" customHeight="1" x14ac:dyDescent="0.2">
      <c r="A1989" s="27">
        <v>1987</v>
      </c>
      <c r="B1989" s="29" t="s">
        <v>187</v>
      </c>
      <c r="C1989" s="29" t="str">
        <f ca="1">IFERROR(__xludf.DUMMYFUNCTION("GOOGLETRANSLATE(C377,""en"",""hr"")"),"Presjek zaštitnih rubova po metru")</f>
        <v>Presjek zaštitnih rubova po metru</v>
      </c>
      <c r="D1989" s="28" t="s">
        <v>11</v>
      </c>
      <c r="E1989" s="29">
        <v>1</v>
      </c>
      <c r="F1989" s="17"/>
    </row>
    <row r="1990" spans="1:9" ht="25.5" customHeight="1" x14ac:dyDescent="0.2">
      <c r="A1990" s="27">
        <v>1988</v>
      </c>
      <c r="B1990" s="29" t="s">
        <v>391</v>
      </c>
      <c r="C1990" s="29" t="str">
        <f ca="1">IFERROR(__xludf.DUMMYFUNCTION("GOOGLETRANSLATE(C917,""en"",""hr"")"),"Presjek zaštitnih rubova po metru")</f>
        <v>Presjek zaštitnih rubova po metru</v>
      </c>
      <c r="D1990" s="28" t="s">
        <v>11</v>
      </c>
      <c r="E1990" s="29">
        <v>1</v>
      </c>
      <c r="F1990" s="17"/>
    </row>
    <row r="1991" spans="1:9" ht="25.5" customHeight="1" x14ac:dyDescent="0.2">
      <c r="A1991" s="27">
        <v>1989</v>
      </c>
      <c r="B1991" s="29" t="s">
        <v>1650</v>
      </c>
      <c r="C1991" s="29" t="str">
        <f ca="1">IFERROR(__xludf.DUMMYFUNCTION("GOOGLETRANSLATE(C5590,""en"",""hr"")"),"Vremenska traka")</f>
        <v>Vremenska traka</v>
      </c>
      <c r="D1991" s="28" t="s">
        <v>11</v>
      </c>
      <c r="E1991" s="29">
        <v>1</v>
      </c>
      <c r="F1991" s="17"/>
      <c r="I1991" s="4" t="b">
        <f>INT(F1989*100)=(F1989*100)</f>
        <v>1</v>
      </c>
    </row>
    <row r="1992" spans="1:9" ht="25.5" customHeight="1" x14ac:dyDescent="0.2">
      <c r="A1992" s="27">
        <v>1990</v>
      </c>
      <c r="B1992" s="29" t="s">
        <v>413</v>
      </c>
      <c r="C1992" s="29" t="str">
        <f ca="1">IFERROR(__xludf.DUMMYFUNCTION("GOOGLETRANSLATE(C980,""en"",""hr"")"),"Vremenska traka po metru")</f>
        <v>Vremenska traka po metru</v>
      </c>
      <c r="D1992" s="28" t="s">
        <v>11</v>
      </c>
      <c r="E1992" s="29">
        <v>1</v>
      </c>
      <c r="F1992" s="17"/>
    </row>
    <row r="1993" spans="1:9" ht="25.5" customHeight="1" x14ac:dyDescent="0.2">
      <c r="A1993" s="27">
        <v>1991</v>
      </c>
      <c r="B1993" s="29" t="s">
        <v>23</v>
      </c>
      <c r="C1993" s="29" t="str">
        <f ca="1">IFERROR(__xludf.DUMMYFUNCTION("GOOGLETRANSLATE(C21,""en"",""hr"")"),"Zaštitni ugljen")</f>
        <v>Zaštitni ugljen</v>
      </c>
      <c r="D1993" s="28" t="s">
        <v>11</v>
      </c>
      <c r="E1993" s="29">
        <v>1</v>
      </c>
      <c r="F1993" s="17"/>
    </row>
    <row r="1994" spans="1:9" ht="25.5" customHeight="1" x14ac:dyDescent="0.2">
      <c r="A1994" s="27">
        <v>1992</v>
      </c>
      <c r="B1994" s="29" t="s">
        <v>1358</v>
      </c>
      <c r="C1994" s="29" t="str">
        <f ca="1">IFERROR(__xludf.DUMMYFUNCTION("GOOGLETRANSLATE(C4315,""en"",""hr"")"),"Zaštitni ugljen")</f>
        <v>Zaštitni ugljen</v>
      </c>
      <c r="D1994" s="28" t="s">
        <v>11</v>
      </c>
      <c r="E1994" s="29">
        <v>1</v>
      </c>
      <c r="F1994" s="17"/>
      <c r="I1994" s="4" t="b">
        <f>INT(F1992*100)=(F1992*100)</f>
        <v>1</v>
      </c>
    </row>
    <row r="1995" spans="1:9" ht="25.5" customHeight="1" x14ac:dyDescent="0.2">
      <c r="A1995" s="27">
        <v>1993</v>
      </c>
      <c r="B1995" s="29" t="s">
        <v>1861</v>
      </c>
      <c r="C1995" s="29" t="str">
        <f ca="1">IFERROR(__xludf.DUMMYFUNCTION("GOOGLETRANSLATE(C6526,""en"",""hr"")"),"Brtva po metru")</f>
        <v>Brtva po metru</v>
      </c>
      <c r="D1995" s="28" t="s">
        <v>11</v>
      </c>
      <c r="E1995" s="29">
        <v>1</v>
      </c>
      <c r="F1995" s="17"/>
    </row>
    <row r="1996" spans="1:9" ht="25.5" customHeight="1" x14ac:dyDescent="0.2">
      <c r="A1996" s="27">
        <v>1994</v>
      </c>
      <c r="B1996" s="29" t="s">
        <v>1521</v>
      </c>
      <c r="C1996" s="29" t="str">
        <f ca="1">IFERROR(__xludf.DUMMYFUNCTION("GOOGLETRANSLATE(C5158,""en"",""hr"")"),"Rešetka")</f>
        <v>Rešetka</v>
      </c>
      <c r="D1996" s="28" t="s">
        <v>11</v>
      </c>
      <c r="E1996" s="29">
        <v>1</v>
      </c>
      <c r="F1996" s="17"/>
    </row>
    <row r="1997" spans="1:9" ht="25.5" customHeight="1" x14ac:dyDescent="0.2">
      <c r="A1997" s="27">
        <v>1995</v>
      </c>
      <c r="B1997" s="29" t="s">
        <v>1531</v>
      </c>
      <c r="C1997" s="29" t="str">
        <f ca="1">IFERROR(__xludf.DUMMYFUNCTION("GOOGLETRANSLATE(C5186,""en"",""hr"")"),"režanj")</f>
        <v>režanj</v>
      </c>
      <c r="D1997" s="28" t="s">
        <v>11</v>
      </c>
      <c r="E1997" s="29">
        <v>1</v>
      </c>
      <c r="F1997" s="17"/>
    </row>
    <row r="1998" spans="1:9" ht="25.5" customHeight="1" x14ac:dyDescent="0.2">
      <c r="A1998" s="27">
        <v>1996</v>
      </c>
      <c r="B1998" s="29" t="s">
        <v>1533</v>
      </c>
      <c r="C1998" s="29" t="str">
        <f ca="1">IFERROR(__xludf.DUMMYFUNCTION("GOOGLETRANSLATE(C5188,""en"",""hr"")"),"Rešetka")</f>
        <v>Rešetka</v>
      </c>
      <c r="D1998" s="28" t="s">
        <v>11</v>
      </c>
      <c r="E1998" s="29">
        <v>1</v>
      </c>
      <c r="F1998" s="17"/>
      <c r="I1998" s="4" t="b">
        <f>INT(F1996*100)=(F1996*100)</f>
        <v>1</v>
      </c>
    </row>
    <row r="1999" spans="1:9" ht="25.5" customHeight="1" x14ac:dyDescent="0.2">
      <c r="A1999" s="27">
        <v>1997</v>
      </c>
      <c r="B1999" s="29" t="s">
        <v>1630</v>
      </c>
      <c r="C1999" s="29" t="str">
        <f ca="1">IFERROR(__xludf.DUMMYFUNCTION("GOOGLETRANSLATE(C5486,""en"",""hr"")"),"Poklopac grijača")</f>
        <v>Poklopac grijača</v>
      </c>
      <c r="D1999" s="28" t="s">
        <v>11</v>
      </c>
      <c r="E1999" s="29">
        <v>1</v>
      </c>
      <c r="F1999" s="17"/>
    </row>
    <row r="2000" spans="1:9" ht="25.5" customHeight="1" x14ac:dyDescent="0.2">
      <c r="A2000" s="27">
        <v>1998</v>
      </c>
      <c r="B2000" s="29" t="s">
        <v>1501</v>
      </c>
      <c r="C2000" s="29" t="str">
        <f ca="1">IFERROR(__xludf.DUMMYFUNCTION("GOOGLETRANSLATE(C5049,""en"",""hr"")"),"Zaštitna kapa")</f>
        <v>Zaštitna kapa</v>
      </c>
      <c r="D2000" s="28" t="s">
        <v>11</v>
      </c>
      <c r="E2000" s="29">
        <v>1</v>
      </c>
      <c r="F2000" s="17"/>
    </row>
    <row r="2001" spans="1:9" ht="25.5" customHeight="1" x14ac:dyDescent="0.2">
      <c r="A2001" s="27">
        <v>1999</v>
      </c>
      <c r="B2001" s="29" t="s">
        <v>1052</v>
      </c>
      <c r="C2001" s="29" t="str">
        <f ca="1">IFERROR(__xludf.DUMMYFUNCTION("GOOGLETRANSLATE(C3437,""en"",""hr"")"),"brtva")</f>
        <v>brtva</v>
      </c>
      <c r="D2001" s="28" t="s">
        <v>11</v>
      </c>
      <c r="E2001" s="29">
        <v>1</v>
      </c>
      <c r="F2001" s="17"/>
    </row>
    <row r="2002" spans="1:9" ht="25.5" customHeight="1" x14ac:dyDescent="0.2">
      <c r="A2002" s="27">
        <v>2000</v>
      </c>
      <c r="B2002" s="29" t="s">
        <v>824</v>
      </c>
      <c r="C2002" s="29" t="str">
        <f ca="1">IFERROR(__xludf.DUMMYFUNCTION("GOOGLETRANSLATE(C2480,""en"",""hr"")"),"Privjesak za ključeve")</f>
        <v>Privjesak za ključeve</v>
      </c>
      <c r="D2002" s="28" t="s">
        <v>11</v>
      </c>
      <c r="E2002" s="29">
        <v>1</v>
      </c>
      <c r="F2002" s="17"/>
    </row>
    <row r="2003" spans="1:9" ht="25.5" customHeight="1" x14ac:dyDescent="0.2">
      <c r="A2003" s="27">
        <v>2001</v>
      </c>
      <c r="B2003" s="29" t="s">
        <v>208</v>
      </c>
      <c r="C2003" s="29" t="str">
        <f ca="1">IFERROR(__xludf.DUMMYFUNCTION("GOOGLETRANSLATE(C444,""en"",""hr"")"),"Preklopni klin")</f>
        <v>Preklopni klin</v>
      </c>
      <c r="D2003" s="28" t="s">
        <v>11</v>
      </c>
      <c r="E2003" s="29">
        <v>1</v>
      </c>
      <c r="F2003" s="17"/>
    </row>
    <row r="2004" spans="1:9" ht="25.5" customHeight="1" x14ac:dyDescent="0.2">
      <c r="A2004" s="27">
        <v>2002</v>
      </c>
      <c r="B2004" s="29" t="s">
        <v>1392</v>
      </c>
      <c r="C2004" s="29" t="str">
        <f ca="1">IFERROR(__xludf.DUMMYFUNCTION("GOOGLETRANSLATE(C4469,""en"",""hr"")"),"Preklopni klin")</f>
        <v>Preklopni klin</v>
      </c>
      <c r="D2004" s="28" t="s">
        <v>11</v>
      </c>
      <c r="E2004" s="29">
        <v>1</v>
      </c>
      <c r="F2004" s="17"/>
    </row>
    <row r="2005" spans="1:9" ht="25.5" customHeight="1" x14ac:dyDescent="0.2">
      <c r="A2005" s="27">
        <v>2003</v>
      </c>
      <c r="B2005" s="29" t="s">
        <v>1898</v>
      </c>
      <c r="C2005" s="29" t="str">
        <f ca="1">IFERROR(__xludf.DUMMYFUNCTION("GOOGLETRANSLATE(C6621,""en"",""hr"")"),"Raspadni trokut")</f>
        <v>Raspadni trokut</v>
      </c>
      <c r="D2005" s="28" t="s">
        <v>11</v>
      </c>
      <c r="E2005" s="29">
        <v>1</v>
      </c>
      <c r="F2005" s="17"/>
    </row>
    <row r="2006" spans="1:9" ht="25.5" customHeight="1" x14ac:dyDescent="0.2">
      <c r="A2006" s="27">
        <v>2004</v>
      </c>
      <c r="B2006" s="29" t="s">
        <v>823</v>
      </c>
      <c r="C2006" s="29" t="str">
        <f ca="1">IFERROR(__xludf.DUMMYFUNCTION("GOOGLETRANSLATE(C2479,""en"",""hr"")"),"Lanac")</f>
        <v>Lanac</v>
      </c>
      <c r="D2006" s="28" t="s">
        <v>11</v>
      </c>
      <c r="E2006" s="29">
        <v>1</v>
      </c>
      <c r="F2006" s="17"/>
    </row>
    <row r="2007" spans="1:9" ht="25.5" customHeight="1" x14ac:dyDescent="0.2">
      <c r="A2007" s="27">
        <v>2005</v>
      </c>
      <c r="B2007" s="29" t="s">
        <v>1030</v>
      </c>
      <c r="C2007" s="29" t="str">
        <f ca="1">IFERROR(__xludf.DUMMYFUNCTION("GOOGLETRANSLATE(C3354,""en"",""hr"")"),"Ručka")</f>
        <v>Ručka</v>
      </c>
      <c r="D2007" s="28" t="s">
        <v>11</v>
      </c>
      <c r="E2007" s="29">
        <v>1</v>
      </c>
      <c r="F2007" s="17"/>
    </row>
    <row r="2008" spans="1:9" ht="25.5" customHeight="1" x14ac:dyDescent="0.2">
      <c r="A2008" s="27">
        <v>2006</v>
      </c>
      <c r="B2008" s="29" t="s">
        <v>14</v>
      </c>
      <c r="C2008" s="29" t="str">
        <f ca="1">IFERROR(__xludf.DUMMYFUNCTION("GOOGLETRANSLATE(C6,""en"",""hr"")"),"Ručka za rukovanje")</f>
        <v>Ručka za rukovanje</v>
      </c>
      <c r="D2008" s="28" t="s">
        <v>11</v>
      </c>
      <c r="E2008" s="29">
        <v>1</v>
      </c>
      <c r="F2008" s="17"/>
    </row>
    <row r="2009" spans="1:9" ht="25.5" customHeight="1" x14ac:dyDescent="0.2">
      <c r="A2009" s="27">
        <v>2007</v>
      </c>
      <c r="B2009" s="29" t="s">
        <v>517</v>
      </c>
      <c r="C2009" s="29" t="str">
        <f ca="1">IFERROR(__xludf.DUMMYFUNCTION("GOOGLETRANSLATE(C1334,""en"",""hr"")"),"Okrugli tampon")</f>
        <v>Okrugli tampon</v>
      </c>
      <c r="D2009" s="28" t="s">
        <v>11</v>
      </c>
      <c r="E2009" s="29">
        <v>1</v>
      </c>
      <c r="F2009" s="17"/>
    </row>
    <row r="2010" spans="1:9" ht="25.5" customHeight="1" x14ac:dyDescent="0.2">
      <c r="A2010" s="27">
        <v>2008</v>
      </c>
      <c r="B2010" s="29" t="s">
        <v>640</v>
      </c>
      <c r="C2010" s="29" t="str">
        <f ca="1">IFERROR(__xludf.DUMMYFUNCTION("GOOGLETRANSLATE(C1978,""en"",""hr"")"),"Matica s prirubnicom")</f>
        <v>Matica s prirubnicom</v>
      </c>
      <c r="D2010" s="28" t="s">
        <v>11</v>
      </c>
      <c r="E2010" s="29">
        <v>1</v>
      </c>
      <c r="F2010" s="17"/>
    </row>
    <row r="2011" spans="1:9" ht="25.5" customHeight="1" x14ac:dyDescent="0.2">
      <c r="A2011" s="27">
        <v>2009</v>
      </c>
      <c r="B2011" s="29" t="s">
        <v>773</v>
      </c>
      <c r="C2011" s="29" t="str">
        <f ca="1">IFERROR(__xludf.DUMMYFUNCTION("GOOGLETRANSLATE(C2402,""en"",""hr"")"),"Matica s prirubnicom")</f>
        <v>Matica s prirubnicom</v>
      </c>
      <c r="D2011" s="28" t="s">
        <v>11</v>
      </c>
      <c r="E2011" s="29">
        <v>1</v>
      </c>
      <c r="F2011" s="17"/>
    </row>
    <row r="2012" spans="1:9" ht="25.5" customHeight="1" x14ac:dyDescent="0.2">
      <c r="A2012" s="27">
        <v>2010</v>
      </c>
      <c r="B2012" s="29" t="s">
        <v>655</v>
      </c>
      <c r="C2012" s="29" t="str">
        <f ca="1">IFERROR(__xludf.DUMMYFUNCTION("GOOGLETRANSLATE(C2045,""en"",""hr"")"),"Šesterokutna matica")</f>
        <v>Šesterokutna matica</v>
      </c>
      <c r="D2012" s="28" t="s">
        <v>11</v>
      </c>
      <c r="E2012" s="29">
        <v>1</v>
      </c>
      <c r="F2012" s="17"/>
    </row>
    <row r="2013" spans="1:9" ht="25.5" customHeight="1" x14ac:dyDescent="0.2">
      <c r="A2013" s="27">
        <v>2011</v>
      </c>
      <c r="B2013" s="29" t="s">
        <v>1559</v>
      </c>
      <c r="C2013" s="29" t="str">
        <f ca="1">IFERROR(__xludf.DUMMYFUNCTION("GOOGLETRANSLATE(C5315,""en"",""hr"")"),"Matica s prirubnicom")</f>
        <v>Matica s prirubnicom</v>
      </c>
      <c r="D2013" s="28" t="s">
        <v>11</v>
      </c>
      <c r="E2013" s="29">
        <v>1</v>
      </c>
      <c r="F2013" s="17"/>
    </row>
    <row r="2014" spans="1:9" ht="25.5" customHeight="1" x14ac:dyDescent="0.2">
      <c r="A2014" s="27">
        <v>2012</v>
      </c>
      <c r="B2014" s="29" t="s">
        <v>551</v>
      </c>
      <c r="C2014" s="29" t="str">
        <f ca="1">IFERROR(__xludf.DUMMYFUNCTION("GOOGLETRANSLATE(C1493,""en"",""hr"")"),"Slijepa zakivna matica")</f>
        <v>Slijepa zakivna matica</v>
      </c>
      <c r="D2014" s="28" t="s">
        <v>11</v>
      </c>
      <c r="E2014" s="29">
        <v>1</v>
      </c>
      <c r="F2014" s="17"/>
    </row>
    <row r="2015" spans="1:9" ht="25.5" customHeight="1" x14ac:dyDescent="0.2">
      <c r="A2015" s="27">
        <v>2013</v>
      </c>
      <c r="B2015" s="29" t="s">
        <v>1453</v>
      </c>
      <c r="C2015" s="29" t="str">
        <f ca="1">IFERROR(__xludf.DUMMYFUNCTION("GOOGLETRANSLATE(C4754,""en"",""hr"")"),"Slijepa zakovica")</f>
        <v>Slijepa zakovica</v>
      </c>
      <c r="D2015" s="28" t="s">
        <v>11</v>
      </c>
      <c r="E2015" s="29">
        <v>1</v>
      </c>
      <c r="F2015" s="17"/>
    </row>
    <row r="2016" spans="1:9" ht="25.5" customHeight="1" x14ac:dyDescent="0.2">
      <c r="A2016" s="27">
        <v>2014</v>
      </c>
      <c r="B2016" s="29" t="s">
        <v>1033</v>
      </c>
      <c r="C2016" s="29" t="str">
        <f ca="1">IFERROR(__xludf.DUMMYFUNCTION("GOOGLETRANSLATE(C3365,""en"",""hr"")"),"Prsten za držanje")</f>
        <v>Prsten za držanje</v>
      </c>
      <c r="D2016" s="28" t="s">
        <v>11</v>
      </c>
      <c r="E2016" s="29">
        <v>1</v>
      </c>
      <c r="F2016" s="17"/>
      <c r="I2016" s="4" t="b">
        <f>INT(F2014*100)=(F2014*100)</f>
        <v>1</v>
      </c>
    </row>
    <row r="2017" spans="1:9" ht="25.5" customHeight="1" x14ac:dyDescent="0.2">
      <c r="A2017" s="27">
        <v>2015</v>
      </c>
      <c r="B2017" s="29" t="s">
        <v>936</v>
      </c>
      <c r="C2017" s="29" t="str">
        <f ca="1">IFERROR(__xludf.DUMMYFUNCTION("GOOGLETRANSLATE(C2854,""en"",""hr"")"),"Slijepa zakivna matica")</f>
        <v>Slijepa zakivna matica</v>
      </c>
      <c r="D2017" s="28" t="s">
        <v>11</v>
      </c>
      <c r="E2017" s="29">
        <v>1</v>
      </c>
      <c r="F2017" s="17"/>
    </row>
    <row r="2018" spans="1:9" ht="25.5" customHeight="1" x14ac:dyDescent="0.2">
      <c r="A2018" s="27">
        <v>2016</v>
      </c>
      <c r="B2018" s="29" t="s">
        <v>1486</v>
      </c>
      <c r="C2018" s="29" t="str">
        <f ca="1">IFERROR(__xludf.DUMMYFUNCTION("GOOGLETRANSLATE(C4976,""en"",""hr"")"),"Orah")</f>
        <v>Orah</v>
      </c>
      <c r="D2018" s="28" t="s">
        <v>11</v>
      </c>
      <c r="E2018" s="29">
        <v>1</v>
      </c>
      <c r="F2018" s="17"/>
    </row>
    <row r="2019" spans="1:9" ht="25.5" customHeight="1" x14ac:dyDescent="0.2">
      <c r="A2019" s="27">
        <v>2017</v>
      </c>
      <c r="B2019" s="29" t="s">
        <v>1439</v>
      </c>
      <c r="C2019" s="29" t="str">
        <f ca="1">IFERROR(__xludf.DUMMYFUNCTION("GOOGLETRANSLATE(C4688,""en"",""hr"")"),"Pločasta matica")</f>
        <v>Pločasta matica</v>
      </c>
      <c r="D2019" s="28" t="s">
        <v>11</v>
      </c>
      <c r="E2019" s="29">
        <v>1</v>
      </c>
      <c r="F2019" s="17"/>
      <c r="I2019" s="4" t="b">
        <f>INT(F2017*100)=(F2017*100)</f>
        <v>1</v>
      </c>
    </row>
    <row r="2020" spans="1:9" ht="25.5" customHeight="1" x14ac:dyDescent="0.2">
      <c r="A2020" s="27">
        <v>2018</v>
      </c>
      <c r="B2020" s="29" t="s">
        <v>1586</v>
      </c>
      <c r="C2020" s="29" t="str">
        <f ca="1">IFERROR(__xludf.DUMMYFUNCTION("GOOGLETRANSLATE(C5366,""en"",""hr"")"),"Pločasta matica")</f>
        <v>Pločasta matica</v>
      </c>
      <c r="D2020" s="28" t="s">
        <v>11</v>
      </c>
      <c r="E2020" s="29">
        <v>1</v>
      </c>
      <c r="F2020" s="17"/>
    </row>
    <row r="2021" spans="1:9" ht="25.5" customHeight="1" x14ac:dyDescent="0.2">
      <c r="A2021" s="27">
        <v>2019</v>
      </c>
      <c r="B2021" s="29" t="s">
        <v>1361</v>
      </c>
      <c r="C2021" s="29" t="str">
        <f ca="1">IFERROR(__xludf.DUMMYFUNCTION("GOOGLETRANSLATE(C4320,""en"",""hr"")"),"Slijepa zakivna matica")</f>
        <v>Slijepa zakivna matica</v>
      </c>
      <c r="D2021" s="28" t="s">
        <v>11</v>
      </c>
      <c r="E2021" s="29">
        <v>1</v>
      </c>
      <c r="F2021" s="17"/>
    </row>
    <row r="2022" spans="1:9" ht="25.5" customHeight="1" x14ac:dyDescent="0.2">
      <c r="A2022" s="27">
        <v>2020</v>
      </c>
      <c r="B2022" s="29" t="s">
        <v>1066</v>
      </c>
      <c r="C2022" s="29" t="str">
        <f ca="1">IFERROR(__xludf.DUMMYFUNCTION("GOOGLETRANSLATE(C3466,""en"",""hr"")"),"Poklopac za ventilaciju")</f>
        <v>Poklopac za ventilaciju</v>
      </c>
      <c r="D2022" s="28" t="s">
        <v>11</v>
      </c>
      <c r="E2022" s="29">
        <v>1</v>
      </c>
      <c r="F2022" s="17"/>
    </row>
    <row r="2023" spans="1:9" ht="25.5" customHeight="1" x14ac:dyDescent="0.2">
      <c r="A2023" s="27">
        <v>2021</v>
      </c>
      <c r="B2023" s="29" t="s">
        <v>2016</v>
      </c>
      <c r="C2023" s="29" t="str">
        <f ca="1">IFERROR(__xludf.DUMMYFUNCTION("GOOGLETRANSLATE(C6823,""en"",""hr"")"),"Isječak")</f>
        <v>Isječak</v>
      </c>
      <c r="D2023" s="28" t="s">
        <v>11</v>
      </c>
      <c r="E2023" s="29">
        <v>1</v>
      </c>
      <c r="F2023" s="17"/>
      <c r="I2023" s="4" t="b">
        <f>INT(F2021*100)=(F2021*100)</f>
        <v>1</v>
      </c>
    </row>
    <row r="2024" spans="1:9" ht="25.5" customHeight="1" x14ac:dyDescent="0.2">
      <c r="A2024" s="27">
        <v>2022</v>
      </c>
      <c r="B2024" s="29" t="s">
        <v>1222</v>
      </c>
      <c r="C2024" s="29" t="str">
        <f ca="1">IFERROR(__xludf.DUMMYFUNCTION("GOOGLETRANSLATE(C3863,""en"",""hr"")"),"Stezaljka za alat")</f>
        <v>Stezaljka za alat</v>
      </c>
      <c r="D2024" s="28" t="s">
        <v>11</v>
      </c>
      <c r="E2024" s="29">
        <v>1</v>
      </c>
      <c r="F2024" s="17"/>
    </row>
    <row r="2025" spans="1:9" ht="25.5" customHeight="1" x14ac:dyDescent="0.2">
      <c r="A2025" s="27">
        <v>2023</v>
      </c>
      <c r="B2025" s="29" t="s">
        <v>1473</v>
      </c>
      <c r="C2025" s="29" t="str">
        <f ca="1">IFERROR(__xludf.DUMMYFUNCTION("GOOGLETRANSLATE(C4938,""en"",""hr"")"),"Slijepa zakivna matica")</f>
        <v>Slijepa zakivna matica</v>
      </c>
      <c r="D2025" s="28" t="s">
        <v>11</v>
      </c>
      <c r="E2025" s="29">
        <v>1</v>
      </c>
      <c r="F2025" s="17"/>
    </row>
    <row r="2026" spans="1:9" ht="25.5" customHeight="1" x14ac:dyDescent="0.2">
      <c r="A2026" s="27">
        <v>2024</v>
      </c>
      <c r="B2026" s="29" t="s">
        <v>321</v>
      </c>
      <c r="C2026" s="29" t="str">
        <f ca="1">IFERROR(__xludf.DUMMYFUNCTION("GOOGLETRANSLATE(C728,""en"",""hr"")"),"Prigušivač vibracija")</f>
        <v>Prigušivač vibracija</v>
      </c>
      <c r="D2026" s="28" t="s">
        <v>11</v>
      </c>
      <c r="E2026" s="29">
        <v>1</v>
      </c>
      <c r="F2026" s="17"/>
    </row>
    <row r="2027" spans="1:9" ht="25.5" customHeight="1" x14ac:dyDescent="0.2">
      <c r="A2027" s="27">
        <v>2025</v>
      </c>
      <c r="B2027" s="29" t="s">
        <v>320</v>
      </c>
      <c r="C2027" s="29" t="str">
        <f ca="1">IFERROR(__xludf.DUMMYFUNCTION("GOOGLETRANSLATE(C726,""en"",""hr"")"),"Prigušivač vibracija")</f>
        <v>Prigušivač vibracija</v>
      </c>
      <c r="D2027" s="28" t="s">
        <v>11</v>
      </c>
      <c r="E2027" s="29">
        <v>1</v>
      </c>
      <c r="F2027" s="17"/>
    </row>
    <row r="2028" spans="1:9" ht="25.5" customHeight="1" x14ac:dyDescent="0.2">
      <c r="A2028" s="27">
        <v>2026</v>
      </c>
      <c r="B2028" s="29" t="s">
        <v>1360</v>
      </c>
      <c r="C2028" s="29" t="str">
        <f ca="1">IFERROR(__xludf.DUMMYFUNCTION("GOOGLETRANSLATE(C4319,""en"",""hr"")"),"Slijepa zakivna matica")</f>
        <v>Slijepa zakivna matica</v>
      </c>
      <c r="D2028" s="28" t="s">
        <v>11</v>
      </c>
      <c r="E2028" s="29">
        <v>1</v>
      </c>
      <c r="F2028" s="17"/>
    </row>
    <row r="2029" spans="1:9" ht="25.5" customHeight="1" x14ac:dyDescent="0.2">
      <c r="A2029" s="27">
        <v>2027</v>
      </c>
      <c r="B2029" s="29" t="s">
        <v>77</v>
      </c>
      <c r="C2029" s="29" t="str">
        <f ca="1">IFERROR(__xludf.DUMMYFUNCTION("GOOGLETRANSLATE(C186,""en"",""hr"")"),"Prigušivač vibracija")</f>
        <v>Prigušivač vibracija</v>
      </c>
      <c r="D2029" s="28" t="s">
        <v>11</v>
      </c>
      <c r="E2029" s="29">
        <v>1</v>
      </c>
      <c r="F2029" s="17"/>
    </row>
    <row r="2030" spans="1:9" ht="25.5" customHeight="1" x14ac:dyDescent="0.2">
      <c r="A2030" s="27">
        <v>2028</v>
      </c>
      <c r="B2030" s="29" t="s">
        <v>1109</v>
      </c>
      <c r="C2030" s="29" t="str">
        <f ca="1">IFERROR(__xludf.DUMMYFUNCTION("GOOGLETRANSLATE(C3583,""en"",""hr"")"),"Kugla Ø40")</f>
        <v>Kugla Ø40</v>
      </c>
      <c r="D2030" s="28" t="s">
        <v>11</v>
      </c>
      <c r="E2030" s="29">
        <v>1</v>
      </c>
      <c r="F2030" s="17"/>
    </row>
    <row r="2031" spans="1:9" ht="25.5" customHeight="1" x14ac:dyDescent="0.2">
      <c r="A2031" s="27">
        <v>2029</v>
      </c>
      <c r="B2031" s="29" t="s">
        <v>1519</v>
      </c>
      <c r="C2031" s="29" t="str">
        <f ca="1">IFERROR(__xludf.DUMMYFUNCTION("GOOGLETRANSLATE(C5155,""en"",""hr"")"),"Pločasta matica")</f>
        <v>Pločasta matica</v>
      </c>
      <c r="D2031" s="28" t="s">
        <v>11</v>
      </c>
      <c r="E2031" s="29">
        <v>1</v>
      </c>
      <c r="F2031" s="17"/>
    </row>
    <row r="2032" spans="1:9" ht="25.5" customHeight="1" x14ac:dyDescent="0.2">
      <c r="A2032" s="27">
        <v>2030</v>
      </c>
      <c r="B2032" s="29" t="s">
        <v>1503</v>
      </c>
      <c r="C2032" s="29" t="str">
        <f ca="1">IFERROR(__xludf.DUMMYFUNCTION("GOOGLETRANSLATE(C5052,""en"",""hr"")"),"Prsten za držanje")</f>
        <v>Prsten za držanje</v>
      </c>
      <c r="D2032" s="28" t="s">
        <v>11</v>
      </c>
      <c r="E2032" s="29">
        <v>1</v>
      </c>
      <c r="F2032" s="17"/>
    </row>
    <row r="2033" spans="1:9" ht="25.5" customHeight="1" x14ac:dyDescent="0.2">
      <c r="A2033" s="27">
        <v>2031</v>
      </c>
      <c r="B2033" s="29" t="s">
        <v>1458</v>
      </c>
      <c r="C2033" s="29" t="str">
        <f ca="1">IFERROR(__xludf.DUMMYFUNCTION("GOOGLETRANSLATE(C4855,""en"",""hr"")"),"Blokada kompresijske poluge")</f>
        <v>Blokada kompresijske poluge</v>
      </c>
      <c r="D2033" s="28" t="s">
        <v>11</v>
      </c>
      <c r="E2033" s="29">
        <v>1</v>
      </c>
      <c r="F2033" s="17"/>
    </row>
    <row r="2034" spans="1:9" ht="25.5" customHeight="1" x14ac:dyDescent="0.2">
      <c r="A2034" s="27">
        <v>2032</v>
      </c>
      <c r="B2034" s="29" t="s">
        <v>997</v>
      </c>
      <c r="C2034" s="29" t="str">
        <f ca="1">IFERROR(__xludf.DUMMYFUNCTION("GOOGLETRANSLATE(C3185,""en"",""hr"")"),"Okov")</f>
        <v>Okov</v>
      </c>
      <c r="D2034" s="28" t="s">
        <v>11</v>
      </c>
      <c r="E2034" s="29">
        <v>1</v>
      </c>
      <c r="F2034" s="17"/>
    </row>
    <row r="2035" spans="1:9" ht="25.5" customHeight="1" x14ac:dyDescent="0.2">
      <c r="A2035" s="27">
        <v>2033</v>
      </c>
      <c r="B2035" s="29" t="s">
        <v>100</v>
      </c>
      <c r="C2035" s="29" t="str">
        <f ca="1">IFERROR(__xludf.DUMMYFUNCTION("GOOGLETRANSLATE(C217,""en"",""hr"")"),"Uski klinasti remen")</f>
        <v>Uski klinasti remen</v>
      </c>
      <c r="D2035" s="28" t="s">
        <v>11</v>
      </c>
      <c r="E2035" s="29">
        <v>1</v>
      </c>
      <c r="F2035" s="17"/>
    </row>
    <row r="2036" spans="1:9" ht="25.5" customHeight="1" x14ac:dyDescent="0.2">
      <c r="A2036" s="27">
        <v>2034</v>
      </c>
      <c r="B2036" s="29" t="s">
        <v>1895</v>
      </c>
      <c r="C2036" s="29" t="str">
        <f ca="1">IFERROR(__xludf.DUMMYFUNCTION("GOOGLETRANSLATE(C6616,""en"",""hr"")"),"Klin kotača")</f>
        <v>Klin kotača</v>
      </c>
      <c r="D2036" s="28" t="s">
        <v>11</v>
      </c>
      <c r="E2036" s="29">
        <v>1</v>
      </c>
      <c r="F2036" s="17"/>
    </row>
    <row r="2037" spans="1:9" ht="25.5" customHeight="1" x14ac:dyDescent="0.2">
      <c r="A2037" s="27">
        <v>2035</v>
      </c>
      <c r="B2037" s="29" t="s">
        <v>1659</v>
      </c>
      <c r="C2037" s="29" t="str">
        <f ca="1">IFERROR(__xludf.DUMMYFUNCTION("GOOGLETRANSLATE(C5648,""en"",""hr"")"),"Orah")</f>
        <v>Orah</v>
      </c>
      <c r="D2037" s="28" t="s">
        <v>11</v>
      </c>
      <c r="E2037" s="29">
        <v>1</v>
      </c>
      <c r="F2037" s="17"/>
    </row>
    <row r="2038" spans="1:9" ht="25.5" customHeight="1" x14ac:dyDescent="0.2">
      <c r="A2038" s="27">
        <v>2036</v>
      </c>
      <c r="B2038" s="29" t="s">
        <v>47</v>
      </c>
      <c r="C2038" s="29" t="str">
        <f ca="1">IFERROR(__xludf.DUMMYFUNCTION("GOOGLETRANSLATE(C75,""en"",""hr"")"),"Indikator matice kotača")</f>
        <v>Indikator matice kotača</v>
      </c>
      <c r="D2038" s="28" t="s">
        <v>11</v>
      </c>
      <c r="E2038" s="29">
        <v>1</v>
      </c>
      <c r="F2038" s="17"/>
    </row>
    <row r="2039" spans="1:9" ht="25.5" customHeight="1" x14ac:dyDescent="0.2">
      <c r="A2039" s="27">
        <v>2037</v>
      </c>
      <c r="B2039" s="29" t="s">
        <v>297</v>
      </c>
      <c r="C2039" s="29" t="str">
        <f ca="1">IFERROR(__xludf.DUMMYFUNCTION("GOOGLETRANSLATE(C659,""en"",""hr"")"),"Štap")</f>
        <v>Štap</v>
      </c>
      <c r="D2039" s="28" t="s">
        <v>11</v>
      </c>
      <c r="E2039" s="29">
        <v>1</v>
      </c>
      <c r="F2039" s="17"/>
    </row>
    <row r="2040" spans="1:9" ht="25.5" customHeight="1" x14ac:dyDescent="0.2">
      <c r="A2040" s="27">
        <v>2038</v>
      </c>
      <c r="B2040" s="29" t="s">
        <v>1509</v>
      </c>
      <c r="C2040" s="29" t="str">
        <f ca="1">IFERROR(__xludf.DUMMYFUNCTION("GOOGLETRANSLATE(C5103,""en"",""hr"")"),"držač brave na desnim vratima")</f>
        <v>držač brave na desnim vratima</v>
      </c>
      <c r="D2040" s="28" t="s">
        <v>11</v>
      </c>
      <c r="E2040" s="29">
        <v>1</v>
      </c>
      <c r="F2040" s="17"/>
    </row>
    <row r="2041" spans="1:9" ht="25.5" customHeight="1" x14ac:dyDescent="0.2">
      <c r="A2041" s="27">
        <v>2039</v>
      </c>
      <c r="B2041" s="29" t="s">
        <v>1001</v>
      </c>
      <c r="C2041" s="29" t="str">
        <f ca="1">IFERROR(__xludf.DUMMYFUNCTION("GOOGLETRANSLATE(C3197,""en"",""hr"")"),"Lanac")</f>
        <v>Lanac</v>
      </c>
      <c r="D2041" s="28" t="s">
        <v>11</v>
      </c>
      <c r="E2041" s="29">
        <v>1</v>
      </c>
      <c r="F2041" s="17"/>
    </row>
    <row r="2042" spans="1:9" ht="25.5" customHeight="1" x14ac:dyDescent="0.2">
      <c r="A2042" s="27">
        <v>2040</v>
      </c>
      <c r="B2042" s="29" t="s">
        <v>562</v>
      </c>
      <c r="C2042" s="29" t="str">
        <f ca="1">IFERROR(__xludf.DUMMYFUNCTION("GOOGLETRANSLATE(C1578,""en"",""hr"")"),"Stezaljka za crijevo")</f>
        <v>Stezaljka za crijevo</v>
      </c>
      <c r="D2042" s="28" t="s">
        <v>11</v>
      </c>
      <c r="E2042" s="29">
        <v>1</v>
      </c>
      <c r="F2042" s="17"/>
      <c r="I2042" s="4" t="b">
        <f>INT(F2040*100)=(F2040*100)</f>
        <v>1</v>
      </c>
    </row>
    <row r="2043" spans="1:9" ht="25.5" customHeight="1" x14ac:dyDescent="0.2">
      <c r="A2043" s="27">
        <v>2041</v>
      </c>
      <c r="B2043" s="29" t="s">
        <v>1631</v>
      </c>
      <c r="C2043" s="29" t="str">
        <f ca="1">IFERROR(__xludf.DUMMYFUNCTION("GOOGLETRANSLATE(C5491,""en"",""hr"")"),"Stezaljka za crijevo")</f>
        <v>Stezaljka za crijevo</v>
      </c>
      <c r="D2043" s="28" t="s">
        <v>11</v>
      </c>
      <c r="E2043" s="29">
        <v>1</v>
      </c>
      <c r="F2043" s="17"/>
    </row>
    <row r="2044" spans="1:9" ht="25.5" customHeight="1" x14ac:dyDescent="0.2">
      <c r="A2044" s="27">
        <v>2042</v>
      </c>
      <c r="B2044" s="29" t="s">
        <v>516</v>
      </c>
      <c r="C2044" s="29" t="str">
        <f ca="1">IFERROR(__xludf.DUMMYFUNCTION("GOOGLETRANSLATE(C1323,""en"",""hr"")"),"Stezaljka za crijevo")</f>
        <v>Stezaljka za crijevo</v>
      </c>
      <c r="D2044" s="28" t="s">
        <v>11</v>
      </c>
      <c r="E2044" s="29">
        <v>1</v>
      </c>
      <c r="F2044" s="17"/>
    </row>
    <row r="2045" spans="1:9" ht="25.5" customHeight="1" x14ac:dyDescent="0.2">
      <c r="A2045" s="27">
        <v>2043</v>
      </c>
      <c r="B2045" s="29" t="s">
        <v>1152</v>
      </c>
      <c r="C2045" s="29" t="str">
        <f ca="1">IFERROR(__xludf.DUMMYFUNCTION("GOOGLETRANSLATE(C3745,""en"",""hr"")"),"Stezaljka za crijevo")</f>
        <v>Stezaljka za crijevo</v>
      </c>
      <c r="D2045" s="28" t="s">
        <v>11</v>
      </c>
      <c r="E2045" s="29">
        <v>1</v>
      </c>
      <c r="F2045" s="17"/>
      <c r="I2045" s="4" t="b">
        <f>INT(F2043*100)=(F2043*100)</f>
        <v>1</v>
      </c>
    </row>
    <row r="2046" spans="1:9" ht="25.5" customHeight="1" x14ac:dyDescent="0.2">
      <c r="A2046" s="27">
        <v>2044</v>
      </c>
      <c r="B2046" s="29" t="s">
        <v>420</v>
      </c>
      <c r="C2046" s="29" t="str">
        <f ca="1">IFERROR(__xludf.DUMMYFUNCTION("GOOGLETRANSLATE(C992,""en"",""hr"")"),"Stezaljka za crijevo")</f>
        <v>Stezaljka za crijevo</v>
      </c>
      <c r="D2046" s="28" t="s">
        <v>11</v>
      </c>
      <c r="E2046" s="29">
        <v>1</v>
      </c>
      <c r="F2046" s="17"/>
    </row>
    <row r="2047" spans="1:9" ht="25.5" customHeight="1" x14ac:dyDescent="0.2">
      <c r="A2047" s="27">
        <v>2045</v>
      </c>
      <c r="B2047" s="29" t="s">
        <v>417</v>
      </c>
      <c r="C2047" s="29" t="str">
        <f ca="1">IFERROR(__xludf.DUMMYFUNCTION("GOOGLETRANSLATE(C989,""en"",""hr"")"),"Stezaljka za crijevo")</f>
        <v>Stezaljka za crijevo</v>
      </c>
      <c r="D2047" s="28" t="s">
        <v>11</v>
      </c>
      <c r="E2047" s="29">
        <v>1</v>
      </c>
      <c r="F2047" s="17"/>
    </row>
    <row r="2048" spans="1:9" ht="25.5" customHeight="1" x14ac:dyDescent="0.2">
      <c r="A2048" s="27">
        <v>2046</v>
      </c>
      <c r="B2048" s="29" t="s">
        <v>416</v>
      </c>
      <c r="C2048" s="29" t="str">
        <f ca="1">IFERROR(__xludf.DUMMYFUNCTION("GOOGLETRANSLATE(C988,""en"",""hr"")"),"Stezaljka za crijevo")</f>
        <v>Stezaljka za crijevo</v>
      </c>
      <c r="D2048" s="28" t="s">
        <v>11</v>
      </c>
      <c r="E2048" s="29">
        <v>1</v>
      </c>
      <c r="F2048" s="17"/>
    </row>
    <row r="2049" spans="1:9" ht="25.5" customHeight="1" x14ac:dyDescent="0.2">
      <c r="A2049" s="27">
        <v>2047</v>
      </c>
      <c r="B2049" s="29" t="s">
        <v>637</v>
      </c>
      <c r="C2049" s="29" t="str">
        <f ca="1">IFERROR(__xludf.DUMMYFUNCTION("GOOGLETRANSLATE(C1963,""en"",""hr"")"),"Stezaljka za crijevo")</f>
        <v>Stezaljka za crijevo</v>
      </c>
      <c r="D2049" s="28" t="s">
        <v>11</v>
      </c>
      <c r="E2049" s="29">
        <v>1</v>
      </c>
      <c r="F2049" s="17"/>
      <c r="I2049" s="4" t="b">
        <f>INT(F2047*100)=(F2047*100)</f>
        <v>1</v>
      </c>
    </row>
    <row r="2050" spans="1:9" ht="25.5" customHeight="1" x14ac:dyDescent="0.2">
      <c r="A2050" s="27">
        <v>2048</v>
      </c>
      <c r="B2050" s="29" t="s">
        <v>1529</v>
      </c>
      <c r="C2050" s="29" t="str">
        <f ca="1">IFERROR(__xludf.DUMMYFUNCTION("GOOGLETRANSLATE(C5178,""en"",""hr"")"),"Stezaljka za crijevo")</f>
        <v>Stezaljka za crijevo</v>
      </c>
      <c r="D2050" s="28" t="s">
        <v>11</v>
      </c>
      <c r="E2050" s="29">
        <v>1</v>
      </c>
      <c r="F2050" s="17"/>
    </row>
    <row r="2051" spans="1:9" ht="25.5" customHeight="1" x14ac:dyDescent="0.2">
      <c r="A2051" s="27">
        <v>2049</v>
      </c>
      <c r="B2051" s="29" t="s">
        <v>1035</v>
      </c>
      <c r="C2051" s="29" t="str">
        <f ca="1">IFERROR(__xludf.DUMMYFUNCTION("GOOGLETRANSLATE(C3369,""en"",""hr"")"),"Stezaljka za crijevo")</f>
        <v>Stezaljka za crijevo</v>
      </c>
      <c r="D2051" s="28" t="s">
        <v>11</v>
      </c>
      <c r="E2051" s="29">
        <v>1</v>
      </c>
      <c r="F2051" s="17"/>
    </row>
    <row r="2052" spans="1:9" ht="25.5" customHeight="1" x14ac:dyDescent="0.2">
      <c r="A2052" s="27">
        <v>2050</v>
      </c>
      <c r="B2052" s="29" t="s">
        <v>199</v>
      </c>
      <c r="C2052" s="29" t="str">
        <f ca="1">IFERROR(__xludf.DUMMYFUNCTION("GOOGLETRANSLATE(C433,""en"",""hr"")"),"Stezaljka za crijevo")</f>
        <v>Stezaljka za crijevo</v>
      </c>
      <c r="D2052" s="28" t="s">
        <v>11</v>
      </c>
      <c r="E2052" s="29">
        <v>1</v>
      </c>
      <c r="F2052" s="17"/>
    </row>
    <row r="2053" spans="1:9" ht="25.5" customHeight="1" x14ac:dyDescent="0.2">
      <c r="A2053" s="27">
        <v>2051</v>
      </c>
      <c r="B2053" s="29" t="s">
        <v>526</v>
      </c>
      <c r="C2053" s="29" t="str">
        <f ca="1">IFERROR(__xludf.DUMMYFUNCTION("GOOGLETRANSLATE(C1365,""en"",""hr"")"),"Stezaljka za crijevo")</f>
        <v>Stezaljka za crijevo</v>
      </c>
      <c r="D2053" s="28" t="s">
        <v>11</v>
      </c>
      <c r="E2053" s="29">
        <v>1</v>
      </c>
      <c r="F2053" s="17"/>
    </row>
    <row r="2054" spans="1:9" ht="25.5" customHeight="1" x14ac:dyDescent="0.2">
      <c r="A2054" s="27">
        <v>2052</v>
      </c>
      <c r="B2054" s="29" t="s">
        <v>414</v>
      </c>
      <c r="C2054" s="29" t="str">
        <f ca="1">IFERROR(__xludf.DUMMYFUNCTION("GOOGLETRANSLATE(C985,""en"",""hr"")"),"Stezaljka za crijevo")</f>
        <v>Stezaljka za crijevo</v>
      </c>
      <c r="D2054" s="28" t="s">
        <v>11</v>
      </c>
      <c r="E2054" s="29">
        <v>1</v>
      </c>
      <c r="F2054" s="17"/>
    </row>
    <row r="2055" spans="1:9" ht="25.5" customHeight="1" x14ac:dyDescent="0.2">
      <c r="A2055" s="27">
        <v>2053</v>
      </c>
      <c r="B2055" s="29" t="s">
        <v>339</v>
      </c>
      <c r="C2055" s="29" t="str">
        <f ca="1">IFERROR(__xludf.DUMMYFUNCTION("GOOGLETRANSLATE(C761,""en"",""hr"")"),"Magnetski čep")</f>
        <v>Magnetski čep</v>
      </c>
      <c r="D2055" s="28" t="s">
        <v>11</v>
      </c>
      <c r="E2055" s="29">
        <v>1</v>
      </c>
      <c r="F2055" s="17"/>
    </row>
    <row r="2056" spans="1:9" ht="25.5" customHeight="1" x14ac:dyDescent="0.2">
      <c r="A2056" s="27">
        <v>2054</v>
      </c>
      <c r="B2056" s="29" t="s">
        <v>340</v>
      </c>
      <c r="C2056" s="29" t="str">
        <f ca="1">IFERROR(__xludf.DUMMYFUNCTION("GOOGLETRANSLATE(C762,""en"",""hr"")"),"Čep za punjenje ulja / ventilacijski filtar")</f>
        <v>Čep za punjenje ulja / ventilacijski filtar</v>
      </c>
      <c r="D2056" s="28" t="s">
        <v>11</v>
      </c>
      <c r="E2056" s="29">
        <v>1</v>
      </c>
      <c r="F2056" s="17"/>
    </row>
    <row r="2057" spans="1:9" ht="25.5" customHeight="1" x14ac:dyDescent="0.2">
      <c r="A2057" s="27">
        <v>2055</v>
      </c>
      <c r="B2057" s="29" t="s">
        <v>1471</v>
      </c>
      <c r="C2057" s="29" t="str">
        <f ca="1">IFERROR(__xludf.DUMMYFUNCTION("GOOGLETRANSLATE(C4924,""en"",""hr"")"),"Magnet")</f>
        <v>Magnet</v>
      </c>
      <c r="D2057" s="28" t="s">
        <v>11</v>
      </c>
      <c r="E2057" s="29">
        <v>1</v>
      </c>
      <c r="F2057" s="17"/>
    </row>
    <row r="2058" spans="1:9" ht="25.5" customHeight="1" x14ac:dyDescent="0.2">
      <c r="A2058" s="27">
        <v>2056</v>
      </c>
      <c r="B2058" s="29" t="s">
        <v>1461</v>
      </c>
      <c r="C2058" s="29" t="str">
        <f ca="1">IFERROR(__xludf.DUMMYFUNCTION("GOOGLETRANSLATE(C4879,""en"",""hr"")"),"podrška")</f>
        <v>podrška</v>
      </c>
      <c r="D2058" s="28" t="s">
        <v>11</v>
      </c>
      <c r="E2058" s="29">
        <v>1</v>
      </c>
      <c r="F2058" s="17"/>
    </row>
    <row r="2059" spans="1:9" ht="25.5" customHeight="1" x14ac:dyDescent="0.2">
      <c r="A2059" s="27">
        <v>2057</v>
      </c>
      <c r="B2059" s="29" t="s">
        <v>86</v>
      </c>
      <c r="C2059" s="29" t="str">
        <f ca="1">IFERROR(__xludf.DUMMYFUNCTION("GOOGLETRANSLATE(C200,""en"",""hr"")"),"Poklopac rezervoara za gorivo, zaključavanje - bez ključa")</f>
        <v>Poklopac rezervoara za gorivo, zaključavanje - bez ključa</v>
      </c>
      <c r="D2059" s="28" t="s">
        <v>11</v>
      </c>
      <c r="E2059" s="29">
        <v>1</v>
      </c>
      <c r="F2059" s="17"/>
    </row>
    <row r="2060" spans="1:9" ht="25.5" customHeight="1" x14ac:dyDescent="0.2">
      <c r="A2060" s="27">
        <v>2058</v>
      </c>
      <c r="B2060" s="29" t="s">
        <v>87</v>
      </c>
      <c r="C2060" s="29" t="str">
        <f ca="1">IFERROR(__xludf.DUMMYFUNCTION("GOOGLETRANSLATE(C201,""en"",""hr"")"),"Ulazni filter")</f>
        <v>Ulazni filter</v>
      </c>
      <c r="D2060" s="28" t="s">
        <v>11</v>
      </c>
      <c r="E2060" s="29">
        <v>1</v>
      </c>
      <c r="F2060" s="17"/>
    </row>
    <row r="2061" spans="1:9" ht="25.5" customHeight="1" x14ac:dyDescent="0.2">
      <c r="A2061" s="27">
        <v>2059</v>
      </c>
      <c r="B2061" s="29" t="s">
        <v>1142</v>
      </c>
      <c r="C2061" s="29" t="str">
        <f ca="1">IFERROR(__xludf.DUMMYFUNCTION("GOOGLETRANSLATE(C3705,""en"",""hr"")"),"Crijevo")</f>
        <v>Crijevo</v>
      </c>
      <c r="D2061" s="28" t="s">
        <v>11</v>
      </c>
      <c r="E2061" s="29">
        <v>1</v>
      </c>
      <c r="F2061" s="17"/>
    </row>
    <row r="2062" spans="1:9" ht="25.5" customHeight="1" x14ac:dyDescent="0.2">
      <c r="A2062" s="27">
        <v>2060</v>
      </c>
      <c r="B2062" s="29" t="s">
        <v>629</v>
      </c>
      <c r="C2062" s="29" t="str">
        <f ca="1">IFERROR(__xludf.DUMMYFUNCTION("GOOGLETRANSLATE(C1938,""en"",""hr"")"),"mlaznica")</f>
        <v>mlaznica</v>
      </c>
      <c r="D2062" s="28" t="s">
        <v>11</v>
      </c>
      <c r="E2062" s="29">
        <v>1</v>
      </c>
      <c r="F2062" s="17"/>
    </row>
    <row r="2063" spans="1:9" ht="25.5" customHeight="1" x14ac:dyDescent="0.2">
      <c r="A2063" s="27">
        <v>2061</v>
      </c>
      <c r="B2063" s="29" t="s">
        <v>1332</v>
      </c>
      <c r="C2063" s="29" t="str">
        <f ca="1">IFERROR(__xludf.DUMMYFUNCTION("GOOGLETRANSLATE(C4196,""en"",""hr"")"),"Koplje za vodu visokog pritiska")</f>
        <v>Koplje za vodu visokog pritiska</v>
      </c>
      <c r="D2063" s="28" t="s">
        <v>11</v>
      </c>
      <c r="E2063" s="29">
        <v>1</v>
      </c>
      <c r="F2063" s="17"/>
    </row>
    <row r="2064" spans="1:9" ht="25.5" customHeight="1" x14ac:dyDescent="0.2">
      <c r="A2064" s="27">
        <v>2062</v>
      </c>
      <c r="B2064" s="29" t="s">
        <v>167</v>
      </c>
      <c r="C2064" s="29" t="str">
        <f ca="1">IFERROR(__xludf.DUMMYFUNCTION("GOOGLETRANSLATE(C322,""en"",""hr"")"),"Gumeni nosač")</f>
        <v>Gumeni nosač</v>
      </c>
      <c r="D2064" s="28" t="s">
        <v>11</v>
      </c>
      <c r="E2064" s="29">
        <v>1</v>
      </c>
      <c r="F2064" s="17"/>
    </row>
    <row r="2065" spans="1:9" ht="25.5" customHeight="1" x14ac:dyDescent="0.2">
      <c r="A2065" s="27">
        <v>2063</v>
      </c>
      <c r="B2065" s="29" t="s">
        <v>1549</v>
      </c>
      <c r="C2065" s="29" t="str">
        <f ca="1">IFERROR(__xludf.DUMMYFUNCTION("GOOGLETRANSLATE(C5271,""en"",""hr"")"),"Orah")</f>
        <v>Orah</v>
      </c>
      <c r="D2065" s="28" t="s">
        <v>11</v>
      </c>
      <c r="E2065" s="29">
        <v>1</v>
      </c>
      <c r="F2065" s="17"/>
    </row>
    <row r="2066" spans="1:9" ht="25.5" customHeight="1" x14ac:dyDescent="0.2">
      <c r="A2066" s="27">
        <v>2064</v>
      </c>
      <c r="B2066" s="29" t="s">
        <v>1491</v>
      </c>
      <c r="C2066" s="29" t="str">
        <f ca="1">IFERROR(__xludf.DUMMYFUNCTION("GOOGLETRANSLATE(C4995,""en"",""hr"")"),"Orah")</f>
        <v>Orah</v>
      </c>
      <c r="D2066" s="28" t="s">
        <v>11</v>
      </c>
      <c r="E2066" s="29">
        <v>1</v>
      </c>
      <c r="F2066" s="17"/>
    </row>
    <row r="2067" spans="1:9" ht="25.5" customHeight="1" x14ac:dyDescent="0.2">
      <c r="A2067" s="27">
        <v>2065</v>
      </c>
      <c r="B2067" s="29" t="s">
        <v>1443</v>
      </c>
      <c r="C2067" s="29" t="str">
        <f ca="1">IFERROR(__xludf.DUMMYFUNCTION("GOOGLETRANSLATE(C4707,""en"",""hr"")"),"Orah")</f>
        <v>Orah</v>
      </c>
      <c r="D2067" s="28" t="s">
        <v>11</v>
      </c>
      <c r="E2067" s="29">
        <v>1</v>
      </c>
      <c r="F2067" s="17"/>
      <c r="I2067" s="4" t="b">
        <f>INT(F2065*100)=(F2065*100)</f>
        <v>1</v>
      </c>
    </row>
    <row r="2068" spans="1:9" ht="25.5" customHeight="1" x14ac:dyDescent="0.2">
      <c r="A2068" s="27">
        <v>2066</v>
      </c>
      <c r="B2068" s="29" t="s">
        <v>1823</v>
      </c>
      <c r="C2068" s="29" t="str">
        <f ca="1">IFERROR(__xludf.DUMMYFUNCTION("GOOGLETRANSLATE(C6361,""en"",""hr"")"),"Orah")</f>
        <v>Orah</v>
      </c>
      <c r="D2068" s="28" t="s">
        <v>11</v>
      </c>
      <c r="E2068" s="29">
        <v>1</v>
      </c>
      <c r="F2068" s="17"/>
    </row>
    <row r="2069" spans="1:9" ht="25.5" customHeight="1" x14ac:dyDescent="0.2">
      <c r="A2069" s="27">
        <v>2067</v>
      </c>
      <c r="B2069" s="29" t="s">
        <v>332</v>
      </c>
      <c r="C2069" s="29" t="str">
        <f ca="1">IFERROR(__xludf.DUMMYFUNCTION("GOOGLETRANSLATE(C749,""en"",""hr"")"),"Šesterokutni vijak")</f>
        <v>Šesterokutni vijak</v>
      </c>
      <c r="D2069" s="28" t="s">
        <v>11</v>
      </c>
      <c r="E2069" s="29">
        <v>1</v>
      </c>
      <c r="F2069" s="17"/>
    </row>
    <row r="2070" spans="1:9" ht="25.5" customHeight="1" x14ac:dyDescent="0.2">
      <c r="A2070" s="27">
        <v>2068</v>
      </c>
      <c r="B2070" s="29" t="s">
        <v>421</v>
      </c>
      <c r="C2070" s="29" t="str">
        <f ca="1">IFERROR(__xludf.DUMMYFUNCTION("GOOGLETRANSLATE(C995,""en"",""hr"")"),"Vijak s nazubljenom glavom")</f>
        <v>Vijak s nazubljenom glavom</v>
      </c>
      <c r="D2070" s="28" t="s">
        <v>11</v>
      </c>
      <c r="E2070" s="29">
        <v>1</v>
      </c>
      <c r="F2070" s="17"/>
      <c r="I2070" s="4" t="b">
        <f>INT(F2068*100)=(F2068*100)</f>
        <v>1</v>
      </c>
    </row>
    <row r="2071" spans="1:9" ht="25.5" customHeight="1" x14ac:dyDescent="0.2">
      <c r="A2071" s="27">
        <v>2069</v>
      </c>
      <c r="B2071" s="29" t="s">
        <v>1043</v>
      </c>
      <c r="C2071" s="29" t="str">
        <f ca="1">IFERROR(__xludf.DUMMYFUNCTION("GOOGLETRANSLATE(C3421,""en"",""hr"")"),"Vijak s nazubljenom glavom")</f>
        <v>Vijak s nazubljenom glavom</v>
      </c>
      <c r="D2071" s="28" t="s">
        <v>11</v>
      </c>
      <c r="E2071" s="29">
        <v>1</v>
      </c>
      <c r="F2071" s="17"/>
    </row>
    <row r="2072" spans="1:9" ht="25.5" customHeight="1" x14ac:dyDescent="0.2">
      <c r="A2072" s="27">
        <v>2070</v>
      </c>
      <c r="B2072" s="29" t="s">
        <v>1525</v>
      </c>
      <c r="C2072" s="29" t="str">
        <f ca="1">IFERROR(__xludf.DUMMYFUNCTION("GOOGLETRANSLATE(C5169,""en"",""hr"")"),"brava")</f>
        <v>brava</v>
      </c>
      <c r="D2072" s="28" t="s">
        <v>11</v>
      </c>
      <c r="E2072" s="29">
        <v>1</v>
      </c>
      <c r="F2072" s="17"/>
    </row>
    <row r="2073" spans="1:9" ht="25.5" customHeight="1" x14ac:dyDescent="0.2">
      <c r="A2073" s="27">
        <v>2071</v>
      </c>
      <c r="B2073" s="29" t="s">
        <v>1633</v>
      </c>
      <c r="C2073" s="29" t="str">
        <f ca="1">IFERROR(__xludf.DUMMYFUNCTION("GOOGLETRANSLATE(C5494,""en"",""hr"")"),"brava")</f>
        <v>brava</v>
      </c>
      <c r="D2073" s="28" t="s">
        <v>11</v>
      </c>
      <c r="E2073" s="29">
        <v>1</v>
      </c>
      <c r="F2073" s="17"/>
    </row>
    <row r="2074" spans="1:9" ht="25.5" customHeight="1" x14ac:dyDescent="0.2">
      <c r="A2074" s="27">
        <v>2072</v>
      </c>
      <c r="B2074" s="29" t="s">
        <v>1523</v>
      </c>
      <c r="C2074" s="29" t="str">
        <f ca="1">IFERROR(__xludf.DUMMYFUNCTION("GOOGLETRANSLATE(C5165,""en"",""hr"")"),"Perilica")</f>
        <v>Perilica</v>
      </c>
      <c r="D2074" s="28" t="s">
        <v>11</v>
      </c>
      <c r="E2074" s="29">
        <v>1</v>
      </c>
      <c r="F2074" s="17"/>
      <c r="I2074" s="4" t="b">
        <f>INT(F2072*100)=(F2072*100)</f>
        <v>1</v>
      </c>
    </row>
    <row r="2075" spans="1:9" ht="25.5" customHeight="1" x14ac:dyDescent="0.2">
      <c r="A2075" s="27">
        <v>2073</v>
      </c>
      <c r="B2075" s="29" t="s">
        <v>20</v>
      </c>
      <c r="C2075" s="29" t="str">
        <f ca="1">IFERROR(__xludf.DUMMYFUNCTION("GOOGLETRANSLATE(C16,""en"",""hr"")"),"Zatik za zaključavanje")</f>
        <v>Zatik za zaključavanje</v>
      </c>
      <c r="D2075" s="28" t="s">
        <v>11</v>
      </c>
      <c r="E2075" s="29">
        <v>1</v>
      </c>
      <c r="F2075" s="17"/>
    </row>
    <row r="2076" spans="1:9" ht="25.5" customHeight="1" x14ac:dyDescent="0.2">
      <c r="A2076" s="27">
        <v>2074</v>
      </c>
      <c r="B2076" s="29" t="s">
        <v>1524</v>
      </c>
      <c r="C2076" s="29" t="str">
        <f ca="1">IFERROR(__xludf.DUMMYFUNCTION("GOOGLETRANSLATE(C5168,""en"",""hr"")"),"brava")</f>
        <v>brava</v>
      </c>
      <c r="D2076" s="28" t="s">
        <v>11</v>
      </c>
      <c r="E2076" s="29">
        <v>1</v>
      </c>
      <c r="F2076" s="17"/>
    </row>
    <row r="2077" spans="1:9" ht="25.5" customHeight="1" x14ac:dyDescent="0.2">
      <c r="A2077" s="27">
        <v>2075</v>
      </c>
      <c r="B2077" s="29" t="s">
        <v>1444</v>
      </c>
      <c r="C2077" s="29" t="str">
        <f ca="1">IFERROR(__xludf.DUMMYFUNCTION("GOOGLETRANSLATE(C4712,""en"",""hr"")"),"brava")</f>
        <v>brava</v>
      </c>
      <c r="D2077" s="28" t="s">
        <v>11</v>
      </c>
      <c r="E2077" s="29">
        <v>1</v>
      </c>
      <c r="F2077" s="17"/>
    </row>
    <row r="2078" spans="1:9" ht="25.5" customHeight="1" x14ac:dyDescent="0.2">
      <c r="A2078" s="27">
        <v>2076</v>
      </c>
      <c r="B2078" s="29" t="s">
        <v>1347</v>
      </c>
      <c r="C2078" s="29" t="str">
        <f ca="1">IFERROR(__xludf.DUMMYFUNCTION("GOOGLETRANSLATE(C4243,""en"",""hr"")"),"Uže")</f>
        <v>Uže</v>
      </c>
      <c r="D2078" s="28" t="s">
        <v>11</v>
      </c>
      <c r="E2078" s="29">
        <v>1</v>
      </c>
      <c r="F2078" s="17"/>
    </row>
    <row r="2079" spans="1:9" ht="25.5" customHeight="1" x14ac:dyDescent="0.2">
      <c r="A2079" s="27">
        <v>2077</v>
      </c>
      <c r="B2079" s="29" t="s">
        <v>348</v>
      </c>
      <c r="C2079" s="29" t="str">
        <f ca="1">IFERROR(__xludf.DUMMYFUNCTION("GOOGLETRANSLATE(C802,""en"",""hr"")"),"Jedinica pumpe")</f>
        <v>Jedinica pumpe</v>
      </c>
      <c r="D2079" s="28" t="s">
        <v>11</v>
      </c>
      <c r="E2079" s="29">
        <v>1</v>
      </c>
      <c r="F2079" s="17"/>
    </row>
    <row r="2080" spans="1:9" ht="25.5" customHeight="1" x14ac:dyDescent="0.2">
      <c r="A2080" s="27">
        <v>2078</v>
      </c>
      <c r="B2080" s="29" t="s">
        <v>349</v>
      </c>
      <c r="C2080" s="29" t="str">
        <f ca="1">IFERROR(__xludf.DUMMYFUNCTION("GOOGLETRANSLATE(C803,""en"",""hr"")"),"Pumpa cpl.")</f>
        <v>Pumpa cpl.</v>
      </c>
      <c r="D2080" s="28" t="s">
        <v>11</v>
      </c>
      <c r="E2080" s="29">
        <v>1</v>
      </c>
      <c r="F2080" s="17"/>
    </row>
    <row r="2081" spans="1:9" ht="25.5" customHeight="1" x14ac:dyDescent="0.2">
      <c r="A2081" s="27">
        <v>2079</v>
      </c>
      <c r="B2081" s="29" t="s">
        <v>1543</v>
      </c>
      <c r="C2081" s="29" t="str">
        <f ca="1">IFERROR(__xludf.DUMMYFUNCTION("GOOGLETRANSLATE(C5248,""en"",""hr"")"),"Theraded šipka")</f>
        <v>Theraded šipka</v>
      </c>
      <c r="D2081" s="28" t="s">
        <v>11</v>
      </c>
      <c r="E2081" s="29">
        <v>1</v>
      </c>
      <c r="F2081" s="17"/>
    </row>
    <row r="2082" spans="1:9" ht="25.5" customHeight="1" x14ac:dyDescent="0.2">
      <c r="A2082" s="27">
        <v>2080</v>
      </c>
      <c r="B2082" s="29" t="s">
        <v>272</v>
      </c>
      <c r="C2082" s="29" t="str">
        <f ca="1">IFERROR(__xludf.DUMMYFUNCTION("GOOGLETRANSLATE(C601,""en"",""hr"")"),"Kočnica vodova po metru")</f>
        <v>Kočnica vodova po metru</v>
      </c>
      <c r="D2082" s="28" t="s">
        <v>11</v>
      </c>
      <c r="E2082" s="29">
        <v>1</v>
      </c>
      <c r="F2082" s="17"/>
    </row>
    <row r="2083" spans="1:9" ht="25.5" customHeight="1" x14ac:dyDescent="0.2">
      <c r="A2083" s="27">
        <v>2081</v>
      </c>
      <c r="B2083" s="29" t="s">
        <v>1894</v>
      </c>
      <c r="C2083" s="29" t="str">
        <f ca="1">IFERROR(__xludf.DUMMYFUNCTION("GOOGLETRANSLATE(C6615,""en"",""hr"")"),"Vatrogasni Aparat")</f>
        <v>Vatrogasni Aparat</v>
      </c>
      <c r="D2083" s="28" t="s">
        <v>11</v>
      </c>
      <c r="E2083" s="29">
        <v>1</v>
      </c>
      <c r="F2083" s="17"/>
    </row>
    <row r="2084" spans="1:9" ht="25.5" customHeight="1" x14ac:dyDescent="0.2">
      <c r="A2084" s="27">
        <v>2082</v>
      </c>
      <c r="B2084" s="29" t="s">
        <v>1500</v>
      </c>
      <c r="C2084" s="29" t="str">
        <f ca="1">IFERROR(__xludf.DUMMYFUNCTION("GOOGLETRANSLATE(C5048,""en"",""hr"")"),"Brava za vrata")</f>
        <v>Brava za vrata</v>
      </c>
      <c r="D2084" s="28" t="s">
        <v>11</v>
      </c>
      <c r="E2084" s="29">
        <v>1</v>
      </c>
      <c r="F2084" s="17"/>
    </row>
    <row r="2085" spans="1:9" ht="25.5" customHeight="1" x14ac:dyDescent="0.2">
      <c r="A2085" s="27">
        <v>2083</v>
      </c>
      <c r="B2085" s="29" t="s">
        <v>1506</v>
      </c>
      <c r="C2085" s="29" t="str">
        <f ca="1">IFERROR(__xludf.DUMMYFUNCTION("GOOGLETRANSLATE(C5058,""en"",""hr"")"),"Kvaka za vrata")</f>
        <v>Kvaka za vrata</v>
      </c>
      <c r="D2085" s="28" t="s">
        <v>11</v>
      </c>
      <c r="E2085" s="29">
        <v>1</v>
      </c>
      <c r="F2085" s="17"/>
    </row>
    <row r="2086" spans="1:9" ht="25.5" customHeight="1" x14ac:dyDescent="0.2">
      <c r="A2086" s="27">
        <v>2084</v>
      </c>
      <c r="B2086" s="29" t="s">
        <v>977</v>
      </c>
      <c r="C2086" s="29" t="str">
        <f ca="1">IFERROR(__xludf.DUMMYFUNCTION("GOOGLETRANSLATE(C3113,""en"",""hr"")"),"Upravljački valjak")</f>
        <v>Upravljački valjak</v>
      </c>
      <c r="D2086" s="28" t="s">
        <v>11</v>
      </c>
      <c r="E2086" s="29">
        <v>1</v>
      </c>
      <c r="F2086" s="17"/>
    </row>
    <row r="2087" spans="1:9" ht="25.5" customHeight="1" x14ac:dyDescent="0.2">
      <c r="A2087" s="27">
        <v>2085</v>
      </c>
      <c r="B2087" s="29" t="s">
        <v>2018</v>
      </c>
      <c r="C2087" s="29" t="str">
        <f ca="1">IFERROR(__xludf.DUMMYFUNCTION("GOOGLETRANSLATE(C6828,""en"",""hr"")"),"brava")</f>
        <v>brava</v>
      </c>
      <c r="D2087" s="28" t="s">
        <v>11</v>
      </c>
      <c r="E2087" s="29">
        <v>1</v>
      </c>
      <c r="F2087" s="17"/>
    </row>
    <row r="2088" spans="1:9" ht="25.5" customHeight="1" x14ac:dyDescent="0.2">
      <c r="A2088" s="27">
        <v>2086</v>
      </c>
      <c r="B2088" s="29" t="s">
        <v>1466</v>
      </c>
      <c r="C2088" s="29" t="str">
        <f ca="1">IFERROR(__xludf.DUMMYFUNCTION("GOOGLETRANSLATE(C4890,""en"",""hr"")"),"Potporni prsten")</f>
        <v>Potporni prsten</v>
      </c>
      <c r="D2088" s="28" t="s">
        <v>11</v>
      </c>
      <c r="E2088" s="29">
        <v>1</v>
      </c>
      <c r="F2088" s="17"/>
    </row>
    <row r="2089" spans="1:9" ht="25.5" customHeight="1" x14ac:dyDescent="0.2">
      <c r="A2089" s="27">
        <v>2087</v>
      </c>
      <c r="B2089" s="29" t="s">
        <v>1851</v>
      </c>
      <c r="C2089" s="29" t="str">
        <f ca="1">IFERROR(__xludf.DUMMYFUNCTION("GOOGLETRANSLATE(C6494,""en"",""hr"")"),"Vijčani vrh")</f>
        <v>Vijčani vrh</v>
      </c>
      <c r="D2089" s="28" t="s">
        <v>11</v>
      </c>
      <c r="E2089" s="29">
        <v>1</v>
      </c>
      <c r="F2089" s="17"/>
    </row>
    <row r="2090" spans="1:9" ht="25.5" customHeight="1" x14ac:dyDescent="0.2">
      <c r="A2090" s="27">
        <v>2088</v>
      </c>
      <c r="B2090" s="29" t="s">
        <v>1363</v>
      </c>
      <c r="C2090" s="29" t="str">
        <f ca="1">IFERROR(__xludf.DUMMYFUNCTION("GOOGLETRANSLATE(C4322,""en"",""hr"")"),"Vijak za zaključavanje")</f>
        <v>Vijak za zaključavanje</v>
      </c>
      <c r="D2090" s="28" t="s">
        <v>11</v>
      </c>
      <c r="E2090" s="29">
        <v>1</v>
      </c>
      <c r="F2090" s="17"/>
    </row>
    <row r="2091" spans="1:9" ht="25.5" customHeight="1" x14ac:dyDescent="0.2">
      <c r="A2091" s="27">
        <v>2089</v>
      </c>
      <c r="B2091" s="29" t="s">
        <v>1626</v>
      </c>
      <c r="C2091" s="29" t="str">
        <f ca="1">IFERROR(__xludf.DUMMYFUNCTION("GOOGLETRANSLATE(C5474,""en"",""hr"")"),"Sigurnosni pojas")</f>
        <v>Sigurnosni pojas</v>
      </c>
      <c r="D2091" s="28" t="s">
        <v>11</v>
      </c>
      <c r="E2091" s="29">
        <v>1</v>
      </c>
      <c r="F2091" s="17"/>
    </row>
    <row r="2092" spans="1:9" ht="25.5" customHeight="1" x14ac:dyDescent="0.2">
      <c r="A2092" s="27">
        <v>2090</v>
      </c>
      <c r="B2092" s="29" t="s">
        <v>1625</v>
      </c>
      <c r="C2092" s="29" t="str">
        <f ca="1">IFERROR(__xludf.DUMMYFUNCTION("GOOGLETRANSLATE(C5473,""en"",""hr"")"),"Sigurnosni pojas")</f>
        <v>Sigurnosni pojas</v>
      </c>
      <c r="D2092" s="28" t="s">
        <v>11</v>
      </c>
      <c r="E2092" s="29">
        <v>1</v>
      </c>
      <c r="F2092" s="17"/>
    </row>
    <row r="2093" spans="1:9" ht="25.5" customHeight="1" x14ac:dyDescent="0.2">
      <c r="A2093" s="27">
        <v>2091</v>
      </c>
      <c r="B2093" s="29" t="s">
        <v>1603</v>
      </c>
      <c r="C2093" s="29" t="str">
        <f ca="1">IFERROR(__xludf.DUMMYFUNCTION("GOOGLETRANSLATE(C5446,""en"",""hr"")"),"Vijak za pričvršćivanje")</f>
        <v>Vijak za pričvršćivanje</v>
      </c>
      <c r="D2093" s="28" t="s">
        <v>11</v>
      </c>
      <c r="E2093" s="29">
        <v>1</v>
      </c>
      <c r="F2093" s="17"/>
      <c r="I2093" s="4" t="b">
        <f>INT(F2091*100)=(F2091*100)</f>
        <v>1</v>
      </c>
    </row>
    <row r="2094" spans="1:9" ht="25.5" customHeight="1" x14ac:dyDescent="0.2">
      <c r="A2094" s="27">
        <v>2092</v>
      </c>
      <c r="B2094" s="29" t="s">
        <v>1618</v>
      </c>
      <c r="C2094" s="29" t="str">
        <f ca="1">IFERROR(__xludf.DUMMYFUNCTION("GOOGLETRANSLATE(C5461,""en"",""hr"")"),"PILOT prekidač sjedala (za pneumatsku oprugu)")</f>
        <v>PILOT prekidač sjedala (za pneumatsku oprugu)</v>
      </c>
      <c r="D2094" s="28" t="s">
        <v>11</v>
      </c>
      <c r="E2094" s="29">
        <v>1</v>
      </c>
      <c r="F2094" s="17"/>
    </row>
    <row r="2095" spans="1:9" ht="25.5" customHeight="1" x14ac:dyDescent="0.2">
      <c r="A2095" s="27">
        <v>2093</v>
      </c>
      <c r="B2095" s="29" t="s">
        <v>1604</v>
      </c>
      <c r="C2095" s="29" t="str">
        <f ca="1">IFERROR(__xludf.DUMMYFUNCTION("GOOGLETRANSLATE(C5447,""en"",""hr"")"),"Ručka - klizno sjedalo")</f>
        <v>Ručka - klizno sjedalo</v>
      </c>
      <c r="D2095" s="28" t="s">
        <v>11</v>
      </c>
      <c r="E2095" s="29">
        <v>1</v>
      </c>
      <c r="F2095" s="17"/>
    </row>
    <row r="2096" spans="1:9" ht="25.5" customHeight="1" x14ac:dyDescent="0.2">
      <c r="A2096" s="27">
        <v>2094</v>
      </c>
      <c r="B2096" s="29" t="s">
        <v>1605</v>
      </c>
      <c r="C2096" s="29" t="str">
        <f ca="1">IFERROR(__xludf.DUMMYFUNCTION("GOOGLETRANSLATE(C5448,""en"",""hr"")"),"Ručka - komplet za namještanje naslona")</f>
        <v>Ručka - komplet za namještanje naslona</v>
      </c>
      <c r="D2096" s="28" t="s">
        <v>11</v>
      </c>
      <c r="E2096" s="29">
        <v>1</v>
      </c>
      <c r="F2096" s="17"/>
      <c r="I2096" s="4" t="b">
        <f>INT(F2094*100)=(F2094*100)</f>
        <v>1</v>
      </c>
    </row>
    <row r="2097" spans="1:9" ht="25.5" customHeight="1" x14ac:dyDescent="0.2">
      <c r="A2097" s="27">
        <v>2095</v>
      </c>
      <c r="B2097" s="29" t="s">
        <v>1606</v>
      </c>
      <c r="C2097" s="29" t="str">
        <f ca="1">IFERROR(__xludf.DUMMYFUNCTION("GOOGLETRANSLATE(C5449,""en"",""hr"")"),"Standardni komplet amortizera (meh. ovjesa).")</f>
        <v>Standardni komplet amortizera (meh. ovjesa).</v>
      </c>
      <c r="D2097" s="28" t="s">
        <v>11</v>
      </c>
      <c r="E2097" s="29">
        <v>1</v>
      </c>
      <c r="F2097" s="17"/>
    </row>
    <row r="2098" spans="1:9" ht="25.5" customHeight="1" x14ac:dyDescent="0.2">
      <c r="A2098" s="27">
        <v>2096</v>
      </c>
      <c r="B2098" s="29" t="s">
        <v>1607</v>
      </c>
      <c r="C2098" s="29" t="str">
        <f ca="1">IFERROR(__xludf.DUMMYFUNCTION("GOOGLETRANSLATE(C5450,""en"",""hr"")"),"Standardni komplet amortizera (zračni amortizer).")</f>
        <v>Standardni komplet amortizera (zračni amortizer).</v>
      </c>
      <c r="D2098" s="28" t="s">
        <v>11</v>
      </c>
      <c r="E2098" s="29">
        <v>1</v>
      </c>
      <c r="F2098" s="17"/>
    </row>
    <row r="2099" spans="1:9" ht="25.5" customHeight="1" x14ac:dyDescent="0.2">
      <c r="A2099" s="27">
        <v>2097</v>
      </c>
      <c r="B2099" s="29" t="s">
        <v>1608</v>
      </c>
      <c r="C2099" s="29" t="str">
        <f ca="1">IFERROR(__xludf.DUMMYFUNCTION("GOOGLETRANSLATE(C5451,""en"",""hr"")"),"Standardni komplet škara Assy (Mech. Susp.).")</f>
        <v>Standardni komplet škara Assy (Mech. Susp.).</v>
      </c>
      <c r="D2099" s="28" t="s">
        <v>11</v>
      </c>
      <c r="E2099" s="29">
        <v>1</v>
      </c>
      <c r="F2099" s="17"/>
    </row>
    <row r="2100" spans="1:9" ht="25.5" customHeight="1" x14ac:dyDescent="0.2">
      <c r="A2100" s="27">
        <v>2098</v>
      </c>
      <c r="B2100" s="29" t="s">
        <v>1609</v>
      </c>
      <c r="C2100" s="29" t="str">
        <f ca="1">IFERROR(__xludf.DUMMYFUNCTION("GOOGLETRANSLATE(C5452,""en"",""hr"")"),"Sklop škara (zračni ovjes) Standardni komplet")</f>
        <v>Sklop škara (zračni ovjes) Standardni komplet</v>
      </c>
      <c r="D2100" s="28" t="s">
        <v>11</v>
      </c>
      <c r="E2100" s="29">
        <v>1</v>
      </c>
      <c r="F2100" s="17"/>
      <c r="I2100" s="4" t="b">
        <f>INT(F2098*100)=(F2098*100)</f>
        <v>1</v>
      </c>
    </row>
    <row r="2101" spans="1:9" ht="25.5" customHeight="1" x14ac:dyDescent="0.2">
      <c r="A2101" s="27">
        <v>2099</v>
      </c>
      <c r="B2101" s="29" t="s">
        <v>1610</v>
      </c>
      <c r="C2101" s="29" t="str">
        <f ca="1">IFERROR(__xludf.DUMMYFUNCTION("GOOGLETRANSLATE(C5453,""en"",""hr"")"),"Guma - Kit Standard")</f>
        <v>Guma - Kit Standard</v>
      </c>
      <c r="D2101" s="28" t="s">
        <v>11</v>
      </c>
      <c r="E2101" s="29">
        <v>1</v>
      </c>
      <c r="F2101" s="17"/>
    </row>
    <row r="2102" spans="1:9" ht="25.5" customHeight="1" x14ac:dyDescent="0.2">
      <c r="A2102" s="27">
        <v>2100</v>
      </c>
      <c r="B2102" s="29" t="s">
        <v>1611</v>
      </c>
      <c r="C2102" s="29" t="str">
        <f ca="1">IFERROR(__xludf.DUMMYFUNCTION("GOOGLETRANSLATE(C5454,""en"",""hr"")"),"Standardni komplet gumba za podešavanje težine")</f>
        <v>Standardni komplet gumba za podešavanje težine</v>
      </c>
      <c r="D2102" s="28" t="s">
        <v>11</v>
      </c>
      <c r="E2102" s="29">
        <v>1</v>
      </c>
      <c r="F2102" s="17"/>
    </row>
    <row r="2103" spans="1:9" ht="25.5" customHeight="1" x14ac:dyDescent="0.2">
      <c r="A2103" s="27">
        <v>2101</v>
      </c>
      <c r="B2103" s="29" t="s">
        <v>1612</v>
      </c>
      <c r="C2103" s="29" t="str">
        <f ca="1">IFERROR(__xludf.DUMMYFUNCTION("GOOGLETRANSLATE(C5455,""en"",""hr"")"),"Čizma - standardni set kopči")</f>
        <v>Čizma - standardni set kopči</v>
      </c>
      <c r="D2103" s="28" t="s">
        <v>11</v>
      </c>
      <c r="E2103" s="29">
        <v>1</v>
      </c>
      <c r="F2103" s="17"/>
    </row>
    <row r="2104" spans="1:9" ht="25.5" customHeight="1" x14ac:dyDescent="0.2">
      <c r="A2104" s="27">
        <v>2102</v>
      </c>
      <c r="B2104" s="29" t="s">
        <v>1613</v>
      </c>
      <c r="C2104" s="29" t="str">
        <f ca="1">IFERROR(__xludf.DUMMYFUNCTION("GOOGLETRANSLATE(C5456,""en"",""hr"")"),"Proljeće - Postavite standard")</f>
        <v>Proljeće - Postavite standard</v>
      </c>
      <c r="D2104" s="28" t="s">
        <v>11</v>
      </c>
      <c r="E2104" s="29">
        <v>1</v>
      </c>
      <c r="F2104" s="17"/>
    </row>
    <row r="2105" spans="1:9" ht="25.5" customHeight="1" x14ac:dyDescent="0.2">
      <c r="A2105" s="27">
        <v>2103</v>
      </c>
      <c r="B2105" s="29" t="s">
        <v>1614</v>
      </c>
      <c r="C2105" s="29" t="str">
        <f ca="1">IFERROR(__xludf.DUMMYFUNCTION("GOOGLETRANSLATE(C5457,""en"",""hr"")"),"Komplet nosača sigurnosnog pojasa RH Standard")</f>
        <v>Komplet nosača sigurnosnog pojasa RH Standard</v>
      </c>
      <c r="D2105" s="28" t="s">
        <v>11</v>
      </c>
      <c r="E2105" s="29">
        <v>1</v>
      </c>
      <c r="F2105" s="17"/>
    </row>
    <row r="2106" spans="1:9" ht="25.5" customHeight="1" x14ac:dyDescent="0.2">
      <c r="A2106" s="27">
        <v>2104</v>
      </c>
      <c r="B2106" s="29" t="s">
        <v>1615</v>
      </c>
      <c r="C2106" s="29" t="str">
        <f ca="1">IFERROR(__xludf.DUMMYFUNCTION("GOOGLETRANSLATE(C5458,""en"",""hr"")"),"Komplet nosača sigurnosnog pojasa, lijevi - standardno")</f>
        <v>Komplet nosača sigurnosnog pojasa, lijevi - standardno</v>
      </c>
      <c r="D2106" s="28" t="s">
        <v>11</v>
      </c>
      <c r="E2106" s="29">
        <v>1</v>
      </c>
      <c r="F2106" s="17"/>
    </row>
    <row r="2107" spans="1:9" ht="25.5" customHeight="1" x14ac:dyDescent="0.2">
      <c r="A2107" s="27">
        <v>2105</v>
      </c>
      <c r="B2107" s="29" t="s">
        <v>1616</v>
      </c>
      <c r="C2107" s="29" t="str">
        <f ca="1">IFERROR(__xludf.DUMMYFUNCTION("GOOGLETRANSLATE(C5459,""en"",""hr"")"),"Bočna strana - plastična lijeva (sjedalo desno) standardno")</f>
        <v>Bočna strana - plastična lijeva (sjedalo desno) standardno</v>
      </c>
      <c r="D2107" s="28" t="s">
        <v>11</v>
      </c>
      <c r="E2107" s="29">
        <v>1</v>
      </c>
      <c r="F2107" s="17"/>
    </row>
    <row r="2108" spans="1:9" ht="25.5" customHeight="1" x14ac:dyDescent="0.2">
      <c r="A2108" s="27">
        <v>2106</v>
      </c>
      <c r="B2108" s="29" t="s">
        <v>1617</v>
      </c>
      <c r="C2108" s="29" t="str">
        <f ca="1">IFERROR(__xludf.DUMMYFUNCTION("GOOGLETRANSLATE(C5460,""en"",""hr"")"),"Bočna strana - plastična desna (sjedalo desno) standardno")</f>
        <v>Bočna strana - plastična desna (sjedalo desno) standardno</v>
      </c>
      <c r="D2108" s="28" t="s">
        <v>11</v>
      </c>
      <c r="E2108" s="29">
        <v>1</v>
      </c>
      <c r="F2108" s="17"/>
    </row>
    <row r="2109" spans="1:9" ht="25.5" customHeight="1" x14ac:dyDescent="0.2">
      <c r="A2109" s="27">
        <v>2107</v>
      </c>
      <c r="B2109" s="29" t="s">
        <v>1619</v>
      </c>
      <c r="C2109" s="29" t="str">
        <f ca="1">IFERROR(__xludf.DUMMYFUNCTION("GOOGLETRANSLATE(C5462,""en"",""hr"")"),"Kompresor - 12V Standard")</f>
        <v>Kompresor - 12V Standard</v>
      </c>
      <c r="D2109" s="28" t="s">
        <v>11</v>
      </c>
      <c r="E2109" s="29">
        <v>1</v>
      </c>
      <c r="F2109" s="17"/>
    </row>
    <row r="2110" spans="1:9" ht="25.5" customHeight="1" x14ac:dyDescent="0.2">
      <c r="A2110" s="27">
        <v>2108</v>
      </c>
      <c r="B2110" s="29" t="s">
        <v>1620</v>
      </c>
      <c r="C2110" s="29" t="str">
        <f ca="1">IFERROR(__xludf.DUMMYFUNCTION("GOOGLETRANSLATE(C5463,""en"",""hr"")"),"Električni kabel, standardni")</f>
        <v>Električni kabel, standardni</v>
      </c>
      <c r="D2110" s="28" t="s">
        <v>11</v>
      </c>
      <c r="E2110" s="29">
        <v>1</v>
      </c>
      <c r="F2110" s="17"/>
    </row>
    <row r="2111" spans="1:9" ht="25.5" customHeight="1" x14ac:dyDescent="0.2">
      <c r="A2111" s="27">
        <v>2109</v>
      </c>
      <c r="B2111" s="29" t="s">
        <v>1621</v>
      </c>
      <c r="C2111" s="29" t="str">
        <f ca="1">IFERROR(__xludf.DUMMYFUNCTION("GOOGLETRANSLATE(C5464,""en"",""hr"")"),"Komplet zračnih opruga, standard")</f>
        <v>Komplet zračnih opruga, standard</v>
      </c>
      <c r="D2111" s="28" t="s">
        <v>11</v>
      </c>
      <c r="E2111" s="29">
        <v>1</v>
      </c>
      <c r="F2111" s="17"/>
    </row>
    <row r="2112" spans="1:9" ht="25.5" customHeight="1" x14ac:dyDescent="0.2">
      <c r="A2112" s="27">
        <v>2110</v>
      </c>
      <c r="B2112" s="29" t="s">
        <v>1622</v>
      </c>
      <c r="C2112" s="29" t="str">
        <f ca="1">IFERROR(__xludf.DUMMYFUNCTION("GOOGLETRANSLATE(C5465,""en"",""hr"")"),"Bočna strana - plastična lijeva (lijevo sjedalo) standardno")</f>
        <v>Bočna strana - plastična lijeva (lijevo sjedalo) standardno</v>
      </c>
      <c r="D2112" s="28" t="s">
        <v>11</v>
      </c>
      <c r="E2112" s="29">
        <v>1</v>
      </c>
      <c r="F2112" s="17"/>
    </row>
    <row r="2113" spans="1:9" ht="25.5" customHeight="1" x14ac:dyDescent="0.2">
      <c r="A2113" s="27">
        <v>2111</v>
      </c>
      <c r="B2113" s="29" t="s">
        <v>1623</v>
      </c>
      <c r="C2113" s="29" t="str">
        <f ca="1">IFERROR(__xludf.DUMMYFUNCTION("GOOGLETRANSLATE(C5466,""en"",""hr"")"),"Bočna strana - plastična desna (sjedalo lijevo) standardno")</f>
        <v>Bočna strana - plastična desna (sjedalo lijevo) standardno</v>
      </c>
      <c r="D2113" s="28" t="s">
        <v>11</v>
      </c>
      <c r="E2113" s="29">
        <v>1</v>
      </c>
      <c r="F2113" s="17"/>
    </row>
    <row r="2114" spans="1:9" ht="25.5" customHeight="1" x14ac:dyDescent="0.2">
      <c r="A2114" s="27">
        <v>2112</v>
      </c>
      <c r="B2114" s="29" t="s">
        <v>973</v>
      </c>
      <c r="C2114" s="29" t="str">
        <f ca="1">IFERROR(__xludf.DUMMYFUNCTION("GOOGLETRANSLATE(C3102,""en"",""hr"")"),"Glava vilice")</f>
        <v>Glava vilice</v>
      </c>
      <c r="D2114" s="28" t="s">
        <v>11</v>
      </c>
      <c r="E2114" s="29">
        <v>1</v>
      </c>
      <c r="F2114" s="17"/>
    </row>
    <row r="2115" spans="1:9" ht="25.5" customHeight="1" x14ac:dyDescent="0.2">
      <c r="A2115" s="27">
        <v>2113</v>
      </c>
      <c r="B2115" s="29" t="s">
        <v>278</v>
      </c>
      <c r="C2115" s="29" t="str">
        <f ca="1">IFERROR(__xludf.DUMMYFUNCTION("GOOGLETRANSLATE(C609,""en"",""hr"")"),"Glava vilice")</f>
        <v>Glava vilice</v>
      </c>
      <c r="D2115" s="28" t="s">
        <v>11</v>
      </c>
      <c r="E2115" s="29">
        <v>1</v>
      </c>
      <c r="F2115" s="17"/>
    </row>
    <row r="2116" spans="1:9" ht="25.5" customHeight="1" x14ac:dyDescent="0.2">
      <c r="A2116" s="27">
        <v>2114</v>
      </c>
      <c r="B2116" s="29" t="s">
        <v>863</v>
      </c>
      <c r="C2116" s="29" t="str">
        <f ca="1">IFERROR(__xludf.DUMMYFUNCTION("GOOGLETRANSLATE(C2536,""en"",""hr"")"),"Glava vilice")</f>
        <v>Glava vilice</v>
      </c>
      <c r="D2116" s="28" t="s">
        <v>11</v>
      </c>
      <c r="E2116" s="29">
        <v>1</v>
      </c>
      <c r="F2116" s="17"/>
    </row>
    <row r="2117" spans="1:9" ht="25.5" customHeight="1" x14ac:dyDescent="0.2">
      <c r="A2117" s="27">
        <v>2115</v>
      </c>
      <c r="B2117" s="29" t="s">
        <v>914</v>
      </c>
      <c r="C2117" s="29" t="str">
        <f ca="1">IFERROR(__xludf.DUMMYFUNCTION("GOOGLETRANSLATE(C2744,""en"",""hr"")"),"Glava vilice")</f>
        <v>Glava vilice</v>
      </c>
      <c r="D2117" s="28" t="s">
        <v>11</v>
      </c>
      <c r="E2117" s="29">
        <v>1</v>
      </c>
      <c r="F2117" s="17"/>
    </row>
    <row r="2118" spans="1:9" ht="25.5" customHeight="1" x14ac:dyDescent="0.2">
      <c r="A2118" s="27">
        <v>2116</v>
      </c>
      <c r="B2118" s="29" t="s">
        <v>974</v>
      </c>
      <c r="C2118" s="29" t="str">
        <f ca="1">IFERROR(__xludf.DUMMYFUNCTION("GOOGLETRANSLATE(C3103,""en"",""hr"")"),"Vijak")</f>
        <v>Vijak</v>
      </c>
      <c r="D2118" s="28" t="s">
        <v>11</v>
      </c>
      <c r="E2118" s="29">
        <v>1</v>
      </c>
      <c r="F2118" s="17"/>
      <c r="I2118" s="4" t="b">
        <f>INT(F2116*100)=(F2116*100)</f>
        <v>1</v>
      </c>
    </row>
    <row r="2119" spans="1:9" ht="25.5" customHeight="1" x14ac:dyDescent="0.2">
      <c r="A2119" s="27">
        <v>2117</v>
      </c>
      <c r="B2119" s="29" t="s">
        <v>864</v>
      </c>
      <c r="C2119" s="29" t="str">
        <f ca="1">IFERROR(__xludf.DUMMYFUNCTION("GOOGLETRANSLATE(C2537,""en"",""hr"")"),"Vijak")</f>
        <v>Vijak</v>
      </c>
      <c r="D2119" s="28" t="s">
        <v>11</v>
      </c>
      <c r="E2119" s="29">
        <v>1</v>
      </c>
      <c r="F2119" s="17"/>
    </row>
    <row r="2120" spans="1:9" ht="25.5" customHeight="1" x14ac:dyDescent="0.2">
      <c r="A2120" s="27">
        <v>2118</v>
      </c>
      <c r="B2120" s="29" t="s">
        <v>915</v>
      </c>
      <c r="C2120" s="29" t="str">
        <f ca="1">IFERROR(__xludf.DUMMYFUNCTION("GOOGLETRANSLATE(C2746,""en"",""hr"")"),"Vijak")</f>
        <v>Vijak</v>
      </c>
      <c r="D2120" s="28" t="s">
        <v>11</v>
      </c>
      <c r="E2120" s="29">
        <v>1</v>
      </c>
      <c r="F2120" s="17"/>
    </row>
    <row r="2121" spans="1:9" ht="25.5" customHeight="1" x14ac:dyDescent="0.2">
      <c r="A2121" s="27">
        <v>2119</v>
      </c>
      <c r="B2121" s="29" t="s">
        <v>679</v>
      </c>
      <c r="C2121" s="29" t="str">
        <f ca="1">IFERROR(__xludf.DUMMYFUNCTION("GOOGLETRANSLATE(C2121,""en"",""hr"")"),"Zglobna lopta")</f>
        <v>Zglobna lopta</v>
      </c>
      <c r="D2121" s="28" t="s">
        <v>11</v>
      </c>
      <c r="E2121" s="29">
        <v>1</v>
      </c>
      <c r="F2121" s="17"/>
      <c r="I2121" s="4" t="b">
        <f>INT(F2119*100)=(F2119*100)</f>
        <v>1</v>
      </c>
    </row>
    <row r="2122" spans="1:9" ht="25.5" customHeight="1" x14ac:dyDescent="0.2">
      <c r="A2122" s="27">
        <v>2120</v>
      </c>
      <c r="B2122" s="29" t="s">
        <v>680</v>
      </c>
      <c r="C2122" s="29" t="str">
        <f ca="1">IFERROR(__xludf.DUMMYFUNCTION("GOOGLETRANSLATE(C2122,""en"",""hr"")"),"Zglobna lopta")</f>
        <v>Zglobna lopta</v>
      </c>
      <c r="D2122" s="28" t="s">
        <v>11</v>
      </c>
      <c r="E2122" s="29">
        <v>1</v>
      </c>
      <c r="F2122" s="17"/>
    </row>
    <row r="2123" spans="1:9" ht="25.5" customHeight="1" x14ac:dyDescent="0.2">
      <c r="A2123" s="27">
        <v>2121</v>
      </c>
      <c r="B2123" s="29" t="s">
        <v>671</v>
      </c>
      <c r="C2123" s="29" t="str">
        <f ca="1">IFERROR(__xludf.DUMMYFUNCTION("GOOGLETRANSLATE(C2108,""en"",""hr"")"),"Zglobna lopta")</f>
        <v>Zglobna lopta</v>
      </c>
      <c r="D2123" s="28" t="s">
        <v>11</v>
      </c>
      <c r="E2123" s="29">
        <v>1</v>
      </c>
      <c r="F2123" s="17"/>
    </row>
    <row r="2124" spans="1:9" ht="25.5" customHeight="1" x14ac:dyDescent="0.2">
      <c r="A2124" s="27">
        <v>2122</v>
      </c>
      <c r="B2124" s="29" t="s">
        <v>659</v>
      </c>
      <c r="C2124" s="29" t="str">
        <f ca="1">IFERROR(__xludf.DUMMYFUNCTION("GOOGLETRANSLATE(C2084,""en"",""hr"")"),"Zglobna lopta")</f>
        <v>Zglobna lopta</v>
      </c>
      <c r="D2124" s="28" t="s">
        <v>11</v>
      </c>
      <c r="E2124" s="29">
        <v>1</v>
      </c>
      <c r="F2124" s="17"/>
    </row>
    <row r="2125" spans="1:9" ht="25.5" customHeight="1" x14ac:dyDescent="0.2">
      <c r="A2125" s="27">
        <v>2123</v>
      </c>
      <c r="B2125" s="29" t="s">
        <v>636</v>
      </c>
      <c r="C2125" s="29" t="str">
        <f ca="1">IFERROR(__xludf.DUMMYFUNCTION("GOOGLETRANSLATE(C1958,""en"",""hr"")"),"Zglobni vijak")</f>
        <v>Zglobni vijak</v>
      </c>
      <c r="D2125" s="28" t="s">
        <v>11</v>
      </c>
      <c r="E2125" s="29">
        <v>1</v>
      </c>
      <c r="F2125" s="17"/>
      <c r="I2125" s="4" t="b">
        <f>INT(F2123*100)=(F2123*100)</f>
        <v>1</v>
      </c>
    </row>
    <row r="2126" spans="1:9" ht="25.5" customHeight="1" x14ac:dyDescent="0.2">
      <c r="A2126" s="27">
        <v>2124</v>
      </c>
      <c r="B2126" s="29" t="s">
        <v>633</v>
      </c>
      <c r="C2126" s="29" t="str">
        <f ca="1">IFERROR(__xludf.DUMMYFUNCTION("GOOGLETRANSLATE(C1948,""en"",""hr"")"),"Zglobna lopta")</f>
        <v>Zglobna lopta</v>
      </c>
      <c r="D2126" s="28" t="s">
        <v>11</v>
      </c>
      <c r="E2126" s="29">
        <v>1</v>
      </c>
      <c r="F2126" s="17"/>
    </row>
    <row r="2127" spans="1:9" ht="25.5" customHeight="1" x14ac:dyDescent="0.2">
      <c r="A2127" s="27">
        <v>2125</v>
      </c>
      <c r="B2127" s="29" t="s">
        <v>654</v>
      </c>
      <c r="C2127" s="29" t="str">
        <f ca="1">IFERROR(__xludf.DUMMYFUNCTION("GOOGLETRANSLATE(C2044,""en"",""hr"")"),"Zglobna lopta")</f>
        <v>Zglobna lopta</v>
      </c>
      <c r="D2127" s="28" t="s">
        <v>11</v>
      </c>
      <c r="E2127" s="29">
        <v>1</v>
      </c>
      <c r="F2127" s="17"/>
    </row>
    <row r="2128" spans="1:9" ht="25.5" customHeight="1" x14ac:dyDescent="0.2">
      <c r="A2128" s="27">
        <v>2126</v>
      </c>
      <c r="B2128" s="29" t="s">
        <v>653</v>
      </c>
      <c r="C2128" s="29" t="str">
        <f ca="1">IFERROR(__xludf.DUMMYFUNCTION("GOOGLETRANSLATE(C2039,""en"",""hr"")"),"Zglobna lopta")</f>
        <v>Zglobna lopta</v>
      </c>
      <c r="D2128" s="28" t="s">
        <v>11</v>
      </c>
      <c r="E2128" s="29">
        <v>1</v>
      </c>
      <c r="F2128" s="17"/>
    </row>
    <row r="2129" spans="1:9" ht="25.5" customHeight="1" x14ac:dyDescent="0.2">
      <c r="A2129" s="27">
        <v>2127</v>
      </c>
      <c r="B2129" s="29" t="s">
        <v>2024</v>
      </c>
      <c r="C2129" s="29" t="str">
        <f ca="1">IFERROR(__xludf.DUMMYFUNCTION("GOOGLETRANSLATE(C6861,""en"",""hr"")"),"Glava klipnjače")</f>
        <v>Glava klipnjače</v>
      </c>
      <c r="D2129" s="28" t="s">
        <v>11</v>
      </c>
      <c r="E2129" s="29">
        <v>1</v>
      </c>
      <c r="F2129" s="17"/>
    </row>
    <row r="2130" spans="1:9" ht="25.5" customHeight="1" x14ac:dyDescent="0.2">
      <c r="A2130" s="27">
        <v>2128</v>
      </c>
      <c r="B2130" s="29" t="s">
        <v>1007</v>
      </c>
      <c r="C2130" s="29" t="str">
        <f ca="1">IFERROR(__xludf.DUMMYFUNCTION("GOOGLETRANSLATE(C3207,""en"",""hr"")"),"Zajednički")</f>
        <v>Zajednički</v>
      </c>
      <c r="D2130" s="28" t="s">
        <v>11</v>
      </c>
      <c r="E2130" s="29">
        <v>1</v>
      </c>
      <c r="F2130" s="17"/>
    </row>
    <row r="2131" spans="1:9" ht="25.5" customHeight="1" x14ac:dyDescent="0.2">
      <c r="A2131" s="27">
        <v>2129</v>
      </c>
      <c r="B2131" s="29" t="s">
        <v>1014</v>
      </c>
      <c r="C2131" s="29" t="str">
        <f ca="1">IFERROR(__xludf.DUMMYFUNCTION("GOOGLETRANSLATE(C3285,""en"",""hr"")"),"Zajednički")</f>
        <v>Zajednički</v>
      </c>
      <c r="D2131" s="28" t="s">
        <v>11</v>
      </c>
      <c r="E2131" s="29">
        <v>1</v>
      </c>
      <c r="F2131" s="17"/>
    </row>
    <row r="2132" spans="1:9" ht="25.5" customHeight="1" x14ac:dyDescent="0.2">
      <c r="A2132" s="27">
        <v>2130</v>
      </c>
      <c r="B2132" s="29" t="s">
        <v>1183</v>
      </c>
      <c r="C2132" s="29" t="str">
        <f ca="1">IFERROR(__xludf.DUMMYFUNCTION("GOOGLETRANSLATE(C3797,""en"",""hr"")"),"O-prsten")</f>
        <v>O-prsten</v>
      </c>
      <c r="D2132" s="28" t="s">
        <v>11</v>
      </c>
      <c r="E2132" s="29">
        <v>1</v>
      </c>
      <c r="F2132" s="17"/>
    </row>
    <row r="2133" spans="1:9" ht="25.5" customHeight="1" x14ac:dyDescent="0.2">
      <c r="A2133" s="27">
        <v>2131</v>
      </c>
      <c r="B2133" s="29" t="s">
        <v>1169</v>
      </c>
      <c r="C2133" s="29" t="str">
        <f ca="1">IFERROR(__xludf.DUMMYFUNCTION("GOOGLETRANSLATE(C3780,""en"",""hr"")"),"O-prsten")</f>
        <v>O-prsten</v>
      </c>
      <c r="D2133" s="28" t="s">
        <v>11</v>
      </c>
      <c r="E2133" s="29">
        <v>1</v>
      </c>
      <c r="F2133" s="17"/>
    </row>
    <row r="2134" spans="1:9" ht="25.5" customHeight="1" x14ac:dyDescent="0.2">
      <c r="A2134" s="27">
        <v>2132</v>
      </c>
      <c r="B2134" s="29" t="s">
        <v>1193</v>
      </c>
      <c r="C2134" s="29" t="str">
        <f ca="1">IFERROR(__xludf.DUMMYFUNCTION("GOOGLETRANSLATE(C3807,""en"",""hr"")"),"O-prsten")</f>
        <v>O-prsten</v>
      </c>
      <c r="D2134" s="28" t="s">
        <v>11</v>
      </c>
      <c r="E2134" s="29">
        <v>1</v>
      </c>
      <c r="F2134" s="17"/>
    </row>
    <row r="2135" spans="1:9" ht="25.5" customHeight="1" x14ac:dyDescent="0.2">
      <c r="A2135" s="27">
        <v>2133</v>
      </c>
      <c r="B2135" s="29" t="s">
        <v>1175</v>
      </c>
      <c r="C2135" s="29" t="str">
        <f ca="1">IFERROR(__xludf.DUMMYFUNCTION("GOOGLETRANSLATE(C3786,""en"",""hr"")"),"O-prsten")</f>
        <v>O-prsten</v>
      </c>
      <c r="D2135" s="28" t="s">
        <v>11</v>
      </c>
      <c r="E2135" s="29">
        <v>1</v>
      </c>
      <c r="F2135" s="17"/>
    </row>
    <row r="2136" spans="1:9" ht="25.5" customHeight="1" x14ac:dyDescent="0.2">
      <c r="A2136" s="27">
        <v>2134</v>
      </c>
      <c r="B2136" s="29" t="s">
        <v>1167</v>
      </c>
      <c r="C2136" s="29" t="str">
        <f ca="1">IFERROR(__xludf.DUMMYFUNCTION("GOOGLETRANSLATE(C3778,""en"",""hr"")"),"O-prsten")</f>
        <v>O-prsten</v>
      </c>
      <c r="D2136" s="28" t="s">
        <v>11</v>
      </c>
      <c r="E2136" s="29">
        <v>1</v>
      </c>
      <c r="F2136" s="17"/>
    </row>
    <row r="2137" spans="1:9" ht="25.5" customHeight="1" x14ac:dyDescent="0.2">
      <c r="A2137" s="27">
        <v>2135</v>
      </c>
      <c r="B2137" s="29" t="s">
        <v>1165</v>
      </c>
      <c r="C2137" s="29" t="str">
        <f ca="1">IFERROR(__xludf.DUMMYFUNCTION("GOOGLETRANSLATE(C3776,""en"",""hr"")"),"O-prsten")</f>
        <v>O-prsten</v>
      </c>
      <c r="D2137" s="28" t="s">
        <v>11</v>
      </c>
      <c r="E2137" s="29">
        <v>1</v>
      </c>
      <c r="F2137" s="17"/>
    </row>
    <row r="2138" spans="1:9" ht="25.5" customHeight="1" x14ac:dyDescent="0.2">
      <c r="A2138" s="27">
        <v>2136</v>
      </c>
      <c r="B2138" s="29" t="s">
        <v>1280</v>
      </c>
      <c r="C2138" s="29" t="str">
        <f ca="1">IFERROR(__xludf.DUMMYFUNCTION("GOOGLETRANSLATE(C4013,""en"",""hr"")"),"O-prsten")</f>
        <v>O-prsten</v>
      </c>
      <c r="D2138" s="28" t="s">
        <v>11</v>
      </c>
      <c r="E2138" s="29">
        <v>1</v>
      </c>
      <c r="F2138" s="17"/>
    </row>
    <row r="2139" spans="1:9" ht="25.5" customHeight="1" x14ac:dyDescent="0.2">
      <c r="A2139" s="27">
        <v>2137</v>
      </c>
      <c r="B2139" s="29" t="s">
        <v>1690</v>
      </c>
      <c r="C2139" s="29" t="str">
        <f ca="1">IFERROR(__xludf.DUMMYFUNCTION("GOOGLETRANSLATE(C5867,""en"",""hr"")"),"O-prsten")</f>
        <v>O-prsten</v>
      </c>
      <c r="D2139" s="28" t="s">
        <v>11</v>
      </c>
      <c r="E2139" s="29">
        <v>1</v>
      </c>
      <c r="F2139" s="17"/>
    </row>
    <row r="2140" spans="1:9" ht="25.5" customHeight="1" x14ac:dyDescent="0.2">
      <c r="A2140" s="27">
        <v>2138</v>
      </c>
      <c r="B2140" s="29" t="s">
        <v>37</v>
      </c>
      <c r="C2140" s="29" t="str">
        <f ca="1">IFERROR(__xludf.DUMMYFUNCTION("GOOGLETRANSLATE(C53,""en"",""hr"")"),"O-prsten")</f>
        <v>O-prsten</v>
      </c>
      <c r="D2140" s="28" t="s">
        <v>11</v>
      </c>
      <c r="E2140" s="29">
        <v>1</v>
      </c>
      <c r="F2140" s="17"/>
    </row>
    <row r="2141" spans="1:9" ht="25.5" customHeight="1" x14ac:dyDescent="0.2">
      <c r="A2141" s="27">
        <v>2139</v>
      </c>
      <c r="B2141" s="29" t="s">
        <v>1273</v>
      </c>
      <c r="C2141" s="29" t="str">
        <f ca="1">IFERROR(__xludf.DUMMYFUNCTION("GOOGLETRANSLATE(C4006,""en"",""hr"")"),"O-prsten")</f>
        <v>O-prsten</v>
      </c>
      <c r="D2141" s="28" t="s">
        <v>11</v>
      </c>
      <c r="E2141" s="29">
        <v>1</v>
      </c>
      <c r="F2141" s="17"/>
    </row>
    <row r="2142" spans="1:9" ht="25.5" customHeight="1" x14ac:dyDescent="0.2">
      <c r="A2142" s="27">
        <v>2140</v>
      </c>
      <c r="B2142" s="29" t="s">
        <v>1178</v>
      </c>
      <c r="C2142" s="29" t="str">
        <f ca="1">IFERROR(__xludf.DUMMYFUNCTION("GOOGLETRANSLATE(C3791,""en"",""hr"")"),"O-prsten")</f>
        <v>O-prsten</v>
      </c>
      <c r="D2142" s="28" t="s">
        <v>11</v>
      </c>
      <c r="E2142" s="29">
        <v>1</v>
      </c>
      <c r="F2142" s="17"/>
    </row>
    <row r="2143" spans="1:9" ht="25.5" customHeight="1" x14ac:dyDescent="0.2">
      <c r="A2143" s="27">
        <v>2141</v>
      </c>
      <c r="B2143" s="29" t="s">
        <v>1282</v>
      </c>
      <c r="C2143" s="29" t="str">
        <f ca="1">IFERROR(__xludf.DUMMYFUNCTION("GOOGLETRANSLATE(C4015,""en"",""hr"")"),"O-prsten")</f>
        <v>O-prsten</v>
      </c>
      <c r="D2143" s="28" t="s">
        <v>11</v>
      </c>
      <c r="E2143" s="29">
        <v>1</v>
      </c>
      <c r="F2143" s="17"/>
    </row>
    <row r="2144" spans="1:9" ht="25.5" customHeight="1" x14ac:dyDescent="0.2">
      <c r="A2144" s="27">
        <v>2142</v>
      </c>
      <c r="B2144" s="29" t="s">
        <v>36</v>
      </c>
      <c r="C2144" s="29" t="str">
        <f ca="1">IFERROR(__xludf.DUMMYFUNCTION("GOOGLETRANSLATE(C52,""en"",""hr"")"),"O-prsten")</f>
        <v>O-prsten</v>
      </c>
      <c r="D2144" s="28" t="s">
        <v>11</v>
      </c>
      <c r="E2144" s="29">
        <v>1</v>
      </c>
      <c r="F2144" s="17"/>
      <c r="I2144" s="4" t="b">
        <f>INT(F2142*100)=(F2142*100)</f>
        <v>1</v>
      </c>
    </row>
    <row r="2145" spans="1:9" ht="25.5" customHeight="1" x14ac:dyDescent="0.2">
      <c r="A2145" s="27">
        <v>2143</v>
      </c>
      <c r="B2145" s="29" t="s">
        <v>1249</v>
      </c>
      <c r="C2145" s="29" t="str">
        <f ca="1">IFERROR(__xludf.DUMMYFUNCTION("GOOGLETRANSLATE(C3955,""en"",""hr"")"),"O-prsten")</f>
        <v>O-prsten</v>
      </c>
      <c r="D2145" s="28" t="s">
        <v>11</v>
      </c>
      <c r="E2145" s="29">
        <v>1</v>
      </c>
      <c r="F2145" s="17"/>
    </row>
    <row r="2146" spans="1:9" ht="25.5" customHeight="1" x14ac:dyDescent="0.2">
      <c r="A2146" s="27">
        <v>2144</v>
      </c>
      <c r="B2146" s="29" t="s">
        <v>1646</v>
      </c>
      <c r="C2146" s="29" t="str">
        <f ca="1">IFERROR(__xludf.DUMMYFUNCTION("GOOGLETRANSLATE(C5574,""en"",""hr"")"),"O-prsten")</f>
        <v>O-prsten</v>
      </c>
      <c r="D2146" s="28" t="s">
        <v>11</v>
      </c>
      <c r="E2146" s="29">
        <v>1</v>
      </c>
      <c r="F2146" s="17"/>
    </row>
    <row r="2147" spans="1:9" ht="25.5" customHeight="1" x14ac:dyDescent="0.2">
      <c r="A2147" s="27">
        <v>2145</v>
      </c>
      <c r="B2147" s="29" t="s">
        <v>1647</v>
      </c>
      <c r="C2147" s="29" t="str">
        <f ca="1">IFERROR(__xludf.DUMMYFUNCTION("GOOGLETRANSLATE(C5575,""en"",""hr"")"),"O-prsten")</f>
        <v>O-prsten</v>
      </c>
      <c r="D2147" s="28" t="s">
        <v>11</v>
      </c>
      <c r="E2147" s="29">
        <v>1</v>
      </c>
      <c r="F2147" s="17"/>
      <c r="I2147" s="4" t="b">
        <f>INT(F2145*100)=(F2145*100)</f>
        <v>1</v>
      </c>
    </row>
    <row r="2148" spans="1:9" ht="25.5" customHeight="1" x14ac:dyDescent="0.2">
      <c r="A2148" s="27">
        <v>2146</v>
      </c>
      <c r="B2148" s="29" t="s">
        <v>843</v>
      </c>
      <c r="C2148" s="29" t="str">
        <f ca="1">IFERROR(__xludf.DUMMYFUNCTION("GOOGLETRANSLATE(C2506,""en"",""hr"")"),"Strugački prsten")</f>
        <v>Strugački prsten</v>
      </c>
      <c r="D2148" s="28" t="s">
        <v>11</v>
      </c>
      <c r="E2148" s="29">
        <v>1</v>
      </c>
      <c r="F2148" s="17"/>
    </row>
    <row r="2149" spans="1:9" ht="25.5" customHeight="1" x14ac:dyDescent="0.2">
      <c r="A2149" s="27">
        <v>2147</v>
      </c>
      <c r="B2149" s="29" t="s">
        <v>1267</v>
      </c>
      <c r="C2149" s="29" t="str">
        <f ca="1">IFERROR(__xludf.DUMMYFUNCTION("GOOGLETRANSLATE(C3999,""en"",""hr"")"),"Set spojnica")</f>
        <v>Set spojnica</v>
      </c>
      <c r="D2149" s="28" t="s">
        <v>11</v>
      </c>
      <c r="E2149" s="29">
        <v>1</v>
      </c>
      <c r="F2149" s="17"/>
    </row>
    <row r="2150" spans="1:9" ht="25.5" customHeight="1" x14ac:dyDescent="0.2">
      <c r="A2150" s="27">
        <v>2148</v>
      </c>
      <c r="B2150" s="29" t="s">
        <v>1914</v>
      </c>
      <c r="C2150" s="29" t="str">
        <f ca="1">IFERROR(__xludf.DUMMYFUNCTION("GOOGLETRANSLATE(C6673,""en"",""hr"")"),"Priključak")</f>
        <v>Priključak</v>
      </c>
      <c r="D2150" s="28" t="s">
        <v>11</v>
      </c>
      <c r="E2150" s="29">
        <v>1</v>
      </c>
      <c r="F2150" s="17"/>
    </row>
    <row r="2151" spans="1:9" ht="25.5" customHeight="1" x14ac:dyDescent="0.2">
      <c r="A2151" s="27">
        <v>2149</v>
      </c>
      <c r="B2151" s="29" t="s">
        <v>1105</v>
      </c>
      <c r="C2151" s="29" t="str">
        <f ca="1">IFERROR(__xludf.DUMMYFUNCTION("GOOGLETRANSLATE(C3575,""en"",""hr"")"),"Fiksno kvačilo")</f>
        <v>Fiksno kvačilo</v>
      </c>
      <c r="D2151" s="28" t="s">
        <v>11</v>
      </c>
      <c r="E2151" s="29">
        <v>1</v>
      </c>
      <c r="F2151" s="17"/>
      <c r="I2151" s="4" t="b">
        <f>INT(F2149*100)=(F2149*100)</f>
        <v>1</v>
      </c>
    </row>
    <row r="2152" spans="1:9" ht="25.5" customHeight="1" x14ac:dyDescent="0.2">
      <c r="A2152" s="27">
        <v>2150</v>
      </c>
      <c r="B2152" s="29" t="s">
        <v>1050</v>
      </c>
      <c r="C2152" s="29" t="str">
        <f ca="1">IFERROR(__xludf.DUMMYFUNCTION("GOOGLETRANSLATE(C3435,""en"",""hr"")"),"Storz kvačilo")</f>
        <v>Storz kvačilo</v>
      </c>
      <c r="D2152" s="28" t="s">
        <v>11</v>
      </c>
      <c r="E2152" s="29">
        <v>1</v>
      </c>
      <c r="F2152" s="17"/>
    </row>
    <row r="2153" spans="1:9" ht="25.5" customHeight="1" x14ac:dyDescent="0.2">
      <c r="A2153" s="27">
        <v>2151</v>
      </c>
      <c r="B2153" s="29" t="s">
        <v>1111</v>
      </c>
      <c r="C2153" s="29" t="str">
        <f ca="1">IFERROR(__xludf.DUMMYFUNCTION("GOOGLETRANSLATE(C3591,""en"",""hr"")"),"Storz kvačilo")</f>
        <v>Storz kvačilo</v>
      </c>
      <c r="D2153" s="28" t="s">
        <v>11</v>
      </c>
      <c r="E2153" s="29">
        <v>1</v>
      </c>
      <c r="F2153" s="17"/>
    </row>
    <row r="2154" spans="1:9" ht="25.5" customHeight="1" x14ac:dyDescent="0.2">
      <c r="A2154" s="27">
        <v>2152</v>
      </c>
      <c r="B2154" s="29" t="s">
        <v>1054</v>
      </c>
      <c r="C2154" s="29" t="str">
        <f ca="1">IFERROR(__xludf.DUMMYFUNCTION("GOOGLETRANSLATE(C3440,""en"",""hr"")"),"Lažna spojka")</f>
        <v>Lažna spojka</v>
      </c>
      <c r="D2154" s="28" t="s">
        <v>11</v>
      </c>
      <c r="E2154" s="29">
        <v>1</v>
      </c>
      <c r="F2154" s="17"/>
    </row>
    <row r="2155" spans="1:9" ht="25.5" customHeight="1" x14ac:dyDescent="0.2">
      <c r="A2155" s="27">
        <v>2153</v>
      </c>
      <c r="B2155" s="29" t="s">
        <v>268</v>
      </c>
      <c r="C2155" s="29" t="str">
        <f ca="1">IFERROR(__xludf.DUMMYFUNCTION("GOOGLETRANSLATE(C588,""en"",""hr"")"),"Distributer")</f>
        <v>Distributer</v>
      </c>
      <c r="D2155" s="28" t="s">
        <v>11</v>
      </c>
      <c r="E2155" s="29">
        <v>1</v>
      </c>
      <c r="F2155" s="17"/>
    </row>
    <row r="2156" spans="1:9" ht="25.5" customHeight="1" x14ac:dyDescent="0.2">
      <c r="A2156" s="27">
        <v>2154</v>
      </c>
      <c r="B2156" s="29" t="s">
        <v>1716</v>
      </c>
      <c r="C2156" s="29" t="str">
        <f ca="1">IFERROR(__xludf.DUMMYFUNCTION("GOOGLETRANSLATE(C5958,""en"",""hr"")"),"Veza")</f>
        <v>Veza</v>
      </c>
      <c r="D2156" s="28" t="s">
        <v>11</v>
      </c>
      <c r="E2156" s="29">
        <v>1</v>
      </c>
      <c r="F2156" s="17"/>
    </row>
    <row r="2157" spans="1:9" ht="25.5" customHeight="1" x14ac:dyDescent="0.2">
      <c r="A2157" s="27">
        <v>2155</v>
      </c>
      <c r="B2157" s="29" t="s">
        <v>246</v>
      </c>
      <c r="C2157" s="29" t="str">
        <f ca="1">IFERROR(__xludf.DUMMYFUNCTION("GOOGLETRANSLATE(C516,""en"",""hr"")"),"Ravni uvrtni vijčani spoj")</f>
        <v>Ravni uvrtni vijčani spoj</v>
      </c>
      <c r="D2157" s="28" t="s">
        <v>11</v>
      </c>
      <c r="E2157" s="29">
        <v>1</v>
      </c>
      <c r="F2157" s="17"/>
    </row>
    <row r="2158" spans="1:9" ht="25.5" customHeight="1" x14ac:dyDescent="0.2">
      <c r="A2158" s="27">
        <v>2156</v>
      </c>
      <c r="B2158" s="29" t="s">
        <v>1740</v>
      </c>
      <c r="C2158" s="29" t="str">
        <f ca="1">IFERROR(__xludf.DUMMYFUNCTION("GOOGLETRANSLATE(C6073,""en"",""hr"")"),"Križno pristajanje")</f>
        <v>Križno pristajanje</v>
      </c>
      <c r="D2158" s="28" t="s">
        <v>11</v>
      </c>
      <c r="E2158" s="29">
        <v>1</v>
      </c>
      <c r="F2158" s="17"/>
    </row>
    <row r="2159" spans="1:9" ht="25.5" customHeight="1" x14ac:dyDescent="0.2">
      <c r="A2159" s="27">
        <v>2157</v>
      </c>
      <c r="B2159" s="29" t="s">
        <v>252</v>
      </c>
      <c r="C2159" s="29" t="str">
        <f ca="1">IFERROR(__xludf.DUMMYFUNCTION("GOOGLETRANSLATE(C533,""en"",""hr"")"),"T-utičnica")</f>
        <v>T-utičnica</v>
      </c>
      <c r="D2159" s="28" t="s">
        <v>11</v>
      </c>
      <c r="E2159" s="29">
        <v>1</v>
      </c>
      <c r="F2159" s="17"/>
    </row>
    <row r="2160" spans="1:9" ht="25.5" customHeight="1" x14ac:dyDescent="0.2">
      <c r="A2160" s="27">
        <v>2158</v>
      </c>
      <c r="B2160" s="29" t="s">
        <v>240</v>
      </c>
      <c r="C2160" s="29" t="str">
        <f ca="1">IFERROR(__xludf.DUMMYFUNCTION("GOOGLETRANSLATE(C505,""en"",""hr"")"),"T-utičnica")</f>
        <v>T-utičnica</v>
      </c>
      <c r="D2160" s="28" t="s">
        <v>11</v>
      </c>
      <c r="E2160" s="29">
        <v>1</v>
      </c>
      <c r="F2160" s="17"/>
    </row>
    <row r="2161" spans="1:9" ht="25.5" customHeight="1" x14ac:dyDescent="0.2">
      <c r="A2161" s="27">
        <v>2159</v>
      </c>
      <c r="B2161" s="29" t="s">
        <v>930</v>
      </c>
      <c r="C2161" s="29" t="str">
        <f ca="1">IFERROR(__xludf.DUMMYFUNCTION("GOOGLETRANSLATE(C2812,""en"",""hr"")"),"Priključak")</f>
        <v>Priključak</v>
      </c>
      <c r="D2161" s="28" t="s">
        <v>11</v>
      </c>
      <c r="E2161" s="29">
        <v>1</v>
      </c>
      <c r="F2161" s="17"/>
    </row>
    <row r="2162" spans="1:9" ht="25.5" customHeight="1" x14ac:dyDescent="0.2">
      <c r="A2162" s="27">
        <v>2160</v>
      </c>
      <c r="B2162" s="29" t="s">
        <v>763</v>
      </c>
      <c r="C2162" s="29" t="str">
        <f ca="1">IFERROR(__xludf.DUMMYFUNCTION("GOOGLETRANSLATE(C2375,""en"",""hr"")"),"Priključak")</f>
        <v>Priključak</v>
      </c>
      <c r="D2162" s="28" t="s">
        <v>11</v>
      </c>
      <c r="E2162" s="29">
        <v>1</v>
      </c>
      <c r="F2162" s="17"/>
    </row>
    <row r="2163" spans="1:9" ht="25.5" customHeight="1" x14ac:dyDescent="0.2">
      <c r="A2163" s="27">
        <v>2161</v>
      </c>
      <c r="B2163" s="29" t="s">
        <v>1739</v>
      </c>
      <c r="C2163" s="29" t="str">
        <f ca="1">IFERROR(__xludf.DUMMYFUNCTION("GOOGLETRANSLATE(C6071,""en"",""hr"")"),"Veza")</f>
        <v>Veza</v>
      </c>
      <c r="D2163" s="28" t="s">
        <v>11</v>
      </c>
      <c r="E2163" s="29">
        <v>1</v>
      </c>
      <c r="F2163" s="17"/>
    </row>
    <row r="2164" spans="1:9" ht="25.5" customHeight="1" x14ac:dyDescent="0.2">
      <c r="A2164" s="27">
        <v>2162</v>
      </c>
      <c r="B2164" s="29" t="s">
        <v>1346</v>
      </c>
      <c r="C2164" s="29" t="str">
        <f ca="1">IFERROR(__xludf.DUMMYFUNCTION("GOOGLETRANSLATE(C4239,""en"",""hr"")"),"Koljenasti vijčani spoj podesiv")</f>
        <v>Koljenasti vijčani spoj podesiv</v>
      </c>
      <c r="D2164" s="28" t="s">
        <v>11</v>
      </c>
      <c r="E2164" s="29">
        <v>1</v>
      </c>
      <c r="F2164" s="17"/>
    </row>
    <row r="2165" spans="1:9" ht="25.5" customHeight="1" x14ac:dyDescent="0.2">
      <c r="A2165" s="27">
        <v>2163</v>
      </c>
      <c r="B2165" s="29" t="s">
        <v>1317</v>
      </c>
      <c r="C2165" s="29" t="str">
        <f ca="1">IFERROR(__xludf.DUMMYFUNCTION("GOOGLETRANSLATE(C4154,""en"",""hr"")"),"Veza")</f>
        <v>Veza</v>
      </c>
      <c r="D2165" s="28" t="s">
        <v>11</v>
      </c>
      <c r="E2165" s="29">
        <v>1</v>
      </c>
      <c r="F2165" s="17"/>
    </row>
    <row r="2166" spans="1:9" ht="25.5" customHeight="1" x14ac:dyDescent="0.2">
      <c r="A2166" s="27">
        <v>2164</v>
      </c>
      <c r="B2166" s="29" t="s">
        <v>1353</v>
      </c>
      <c r="C2166" s="29" t="str">
        <f ca="1">IFERROR(__xludf.DUMMYFUNCTION("GOOGLETRANSLATE(C4292,""en"",""hr"")"),"Odstojna cijev")</f>
        <v>Odstojna cijev</v>
      </c>
      <c r="D2166" s="28" t="s">
        <v>11</v>
      </c>
      <c r="E2166" s="29">
        <v>1</v>
      </c>
      <c r="F2166" s="17"/>
    </row>
    <row r="2167" spans="1:9" ht="25.5" customHeight="1" x14ac:dyDescent="0.2">
      <c r="A2167" s="27">
        <v>2165</v>
      </c>
      <c r="B2167" s="29" t="s">
        <v>757</v>
      </c>
      <c r="C2167" s="29" t="str">
        <f ca="1">IFERROR(__xludf.DUMMYFUNCTION("GOOGLETRANSLATE(C2364,""en"",""hr"")"),"Koljeno prirubnice")</f>
        <v>Koljeno prirubnice</v>
      </c>
      <c r="D2167" s="28" t="s">
        <v>11</v>
      </c>
      <c r="E2167" s="29">
        <v>1</v>
      </c>
      <c r="F2167" s="17"/>
    </row>
    <row r="2168" spans="1:9" ht="25.5" customHeight="1" x14ac:dyDescent="0.2">
      <c r="A2168" s="27">
        <v>2166</v>
      </c>
      <c r="B2168" s="29" t="s">
        <v>1303</v>
      </c>
      <c r="C2168" s="29" t="str">
        <f ca="1">IFERROR(__xludf.DUMMYFUNCTION("GOOGLETRANSLATE(C4117,""en"",""hr"")"),"Koljeno prirubnice")</f>
        <v>Koljeno prirubnice</v>
      </c>
      <c r="D2168" s="28" t="s">
        <v>11</v>
      </c>
      <c r="E2168" s="29">
        <v>1</v>
      </c>
      <c r="F2168" s="17"/>
    </row>
    <row r="2169" spans="1:9" ht="25.5" customHeight="1" x14ac:dyDescent="0.2">
      <c r="A2169" s="27">
        <v>2167</v>
      </c>
      <c r="B2169" s="29" t="s">
        <v>489</v>
      </c>
      <c r="C2169" s="29" t="str">
        <f ca="1">IFERROR(__xludf.DUMMYFUNCTION("GOOGLETRANSLATE(C1187,""en"",""hr"")"),"Koljeno prirubnice")</f>
        <v>Koljeno prirubnice</v>
      </c>
      <c r="D2169" s="28" t="s">
        <v>11</v>
      </c>
      <c r="E2169" s="29">
        <v>1</v>
      </c>
      <c r="F2169" s="17"/>
      <c r="I2169" s="4" t="b">
        <f>INT(F2167*100)=(F2167*100)</f>
        <v>1</v>
      </c>
    </row>
    <row r="2170" spans="1:9" ht="25.5" customHeight="1" x14ac:dyDescent="0.2">
      <c r="A2170" s="27">
        <v>2168</v>
      </c>
      <c r="B2170" s="29" t="s">
        <v>1686</v>
      </c>
      <c r="C2170" s="29" t="str">
        <f ca="1">IFERROR(__xludf.DUMMYFUNCTION("GOOGLETRANSLATE(C5843,""en"",""hr"")"),"Veza")</f>
        <v>Veza</v>
      </c>
      <c r="D2170" s="28" t="s">
        <v>11</v>
      </c>
      <c r="E2170" s="29">
        <v>1</v>
      </c>
      <c r="F2170" s="17"/>
    </row>
    <row r="2171" spans="1:9" ht="25.5" customHeight="1" x14ac:dyDescent="0.2">
      <c r="A2171" s="27">
        <v>2169</v>
      </c>
      <c r="B2171" s="29" t="s">
        <v>682</v>
      </c>
      <c r="C2171" s="29" t="str">
        <f ca="1">IFERROR(__xludf.DUMMYFUNCTION("GOOGLETRANSLATE(C2127,""en"",""hr"")"),"Veza")</f>
        <v>Veza</v>
      </c>
      <c r="D2171" s="28" t="s">
        <v>11</v>
      </c>
      <c r="E2171" s="29">
        <v>1</v>
      </c>
      <c r="F2171" s="17"/>
    </row>
    <row r="2172" spans="1:9" ht="25.5" customHeight="1" x14ac:dyDescent="0.2">
      <c r="A2172" s="27">
        <v>2170</v>
      </c>
      <c r="B2172" s="29" t="s">
        <v>608</v>
      </c>
      <c r="C2172" s="29" t="str">
        <f ca="1">IFERROR(__xludf.DUMMYFUNCTION("GOOGLETRANSLATE(C1882,""en"",""hr"")"),"Veza")</f>
        <v>Veza</v>
      </c>
      <c r="D2172" s="28" t="s">
        <v>11</v>
      </c>
      <c r="E2172" s="29">
        <v>1</v>
      </c>
      <c r="F2172" s="17"/>
      <c r="I2172" s="4" t="b">
        <f>INT(F2170*100)=(F2170*100)</f>
        <v>1</v>
      </c>
    </row>
    <row r="2173" spans="1:9" ht="25.5" customHeight="1" x14ac:dyDescent="0.2">
      <c r="A2173" s="27">
        <v>2171</v>
      </c>
      <c r="B2173" s="29" t="s">
        <v>475</v>
      </c>
      <c r="C2173" s="29" t="str">
        <f ca="1">IFERROR(__xludf.DUMMYFUNCTION("GOOGLETRANSLATE(C1146,""en"",""hr"")"),"Rotirajuća spojka")</f>
        <v>Rotirajuća spojka</v>
      </c>
      <c r="D2173" s="28" t="s">
        <v>11</v>
      </c>
      <c r="E2173" s="29">
        <v>1</v>
      </c>
      <c r="F2173" s="17"/>
    </row>
    <row r="2174" spans="1:9" ht="25.5" customHeight="1" x14ac:dyDescent="0.2">
      <c r="A2174" s="27">
        <v>2172</v>
      </c>
      <c r="B2174" s="29" t="s">
        <v>645</v>
      </c>
      <c r="C2174" s="29" t="str">
        <f ca="1">IFERROR(__xludf.DUMMYFUNCTION("GOOGLETRANSLATE(C2002,""en"",""hr"")"),"Veza")</f>
        <v>Veza</v>
      </c>
      <c r="D2174" s="28" t="s">
        <v>11</v>
      </c>
      <c r="E2174" s="29">
        <v>1</v>
      </c>
      <c r="F2174" s="17"/>
    </row>
    <row r="2175" spans="1:9" ht="25.5" customHeight="1" x14ac:dyDescent="0.2">
      <c r="A2175" s="27">
        <v>2173</v>
      </c>
      <c r="B2175" s="29" t="s">
        <v>646</v>
      </c>
      <c r="C2175" s="29" t="str">
        <f ca="1">IFERROR(__xludf.DUMMYFUNCTION("GOOGLETRANSLATE(C2003,""en"",""hr"")"),"Veza")</f>
        <v>Veza</v>
      </c>
      <c r="D2175" s="28" t="s">
        <v>11</v>
      </c>
      <c r="E2175" s="29">
        <v>1</v>
      </c>
      <c r="F2175" s="17"/>
    </row>
    <row r="2176" spans="1:9" ht="25.5" customHeight="1" x14ac:dyDescent="0.2">
      <c r="A2176" s="27">
        <v>2174</v>
      </c>
      <c r="B2176" s="29" t="s">
        <v>314</v>
      </c>
      <c r="C2176" s="29" t="str">
        <f ca="1">IFERROR(__xludf.DUMMYFUNCTION("GOOGLETRANSLATE(C695,""en"",""hr"")"),"Veza")</f>
        <v>Veza</v>
      </c>
      <c r="D2176" s="28" t="s">
        <v>11</v>
      </c>
      <c r="E2176" s="29">
        <v>1</v>
      </c>
      <c r="F2176" s="17"/>
      <c r="I2176" s="4" t="b">
        <f>INT(F2174*100)=(F2174*100)</f>
        <v>1</v>
      </c>
    </row>
    <row r="2177" spans="1:6" ht="25.5" customHeight="1" x14ac:dyDescent="0.2">
      <c r="A2177" s="27">
        <v>2175</v>
      </c>
      <c r="B2177" s="29" t="s">
        <v>241</v>
      </c>
      <c r="C2177" s="29" t="str">
        <f ca="1">IFERROR(__xludf.DUMMYFUNCTION("GOOGLETRANSLATE(C506,""en"",""hr"")"),"Veza")</f>
        <v>Veza</v>
      </c>
      <c r="D2177" s="28" t="s">
        <v>11</v>
      </c>
      <c r="E2177" s="29">
        <v>1</v>
      </c>
      <c r="F2177" s="17"/>
    </row>
    <row r="2178" spans="1:6" ht="25.5" customHeight="1" x14ac:dyDescent="0.2">
      <c r="A2178" s="27">
        <v>2176</v>
      </c>
      <c r="B2178" s="29" t="s">
        <v>739</v>
      </c>
      <c r="C2178" s="29" t="str">
        <f ca="1">IFERROR(__xludf.DUMMYFUNCTION("GOOGLETRANSLATE(C2327,""en"",""hr"")"),"Koljenasti vijčani spoj")</f>
        <v>Koljenasti vijčani spoj</v>
      </c>
      <c r="D2178" s="28" t="s">
        <v>11</v>
      </c>
      <c r="E2178" s="29">
        <v>1</v>
      </c>
      <c r="F2178" s="17"/>
    </row>
    <row r="2179" spans="1:6" ht="25.5" customHeight="1" x14ac:dyDescent="0.2">
      <c r="A2179" s="27">
        <v>2177</v>
      </c>
      <c r="B2179" s="29" t="s">
        <v>694</v>
      </c>
      <c r="C2179" s="29" t="str">
        <f ca="1">IFERROR(__xludf.DUMMYFUNCTION("GOOGLETRANSLATE(C2202,""en"",""hr"")"),"Koljenasti vijčani spoj")</f>
        <v>Koljenasti vijčani spoj</v>
      </c>
      <c r="D2179" s="28" t="s">
        <v>11</v>
      </c>
      <c r="E2179" s="29">
        <v>1</v>
      </c>
      <c r="F2179" s="17"/>
    </row>
    <row r="2180" spans="1:6" ht="25.5" customHeight="1" x14ac:dyDescent="0.2">
      <c r="A2180" s="27">
        <v>2178</v>
      </c>
      <c r="B2180" s="29" t="s">
        <v>736</v>
      </c>
      <c r="C2180" s="29" t="str">
        <f ca="1">IFERROR(__xludf.DUMMYFUNCTION("GOOGLETRANSLATE(C2321,""en"",""hr"")"),"Koljenasti vijčani spoj")</f>
        <v>Koljenasti vijčani spoj</v>
      </c>
      <c r="D2180" s="28" t="s">
        <v>11</v>
      </c>
      <c r="E2180" s="29">
        <v>1</v>
      </c>
      <c r="F2180" s="17"/>
    </row>
    <row r="2181" spans="1:6" ht="25.5" customHeight="1" x14ac:dyDescent="0.2">
      <c r="A2181" s="27">
        <v>2179</v>
      </c>
      <c r="B2181" s="29" t="s">
        <v>1789</v>
      </c>
      <c r="C2181" s="29" t="str">
        <f ca="1">IFERROR(__xludf.DUMMYFUNCTION("GOOGLETRANSLATE(C6209,""en"",""hr"")"),"Koljenasti vijčani spoj")</f>
        <v>Koljenasti vijčani spoj</v>
      </c>
      <c r="D2181" s="28" t="s">
        <v>11</v>
      </c>
      <c r="E2181" s="29">
        <v>1</v>
      </c>
      <c r="F2181" s="17"/>
    </row>
    <row r="2182" spans="1:6" ht="25.5" customHeight="1" x14ac:dyDescent="0.2">
      <c r="A2182" s="27">
        <v>2180</v>
      </c>
      <c r="B2182" s="29" t="s">
        <v>315</v>
      </c>
      <c r="C2182" s="29" t="str">
        <f ca="1">IFERROR(__xludf.DUMMYFUNCTION("GOOGLETRANSLATE(C702,""en"",""hr"")"),"Rotirajuća spojka")</f>
        <v>Rotirajuća spojka</v>
      </c>
      <c r="D2182" s="28" t="s">
        <v>11</v>
      </c>
      <c r="E2182" s="29">
        <v>1</v>
      </c>
      <c r="F2182" s="17"/>
    </row>
    <row r="2183" spans="1:6" ht="25.5" customHeight="1" x14ac:dyDescent="0.2">
      <c r="A2183" s="27">
        <v>2181</v>
      </c>
      <c r="B2183" s="29" t="s">
        <v>1741</v>
      </c>
      <c r="C2183" s="29" t="str">
        <f ca="1">IFERROR(__xludf.DUMMYFUNCTION("GOOGLETRANSLATE(C6080,""en"",""hr"")"),"Koljenasti vijčani spoj")</f>
        <v>Koljenasti vijčani spoj</v>
      </c>
      <c r="D2183" s="28" t="s">
        <v>11</v>
      </c>
      <c r="E2183" s="29">
        <v>1</v>
      </c>
      <c r="F2183" s="17"/>
    </row>
    <row r="2184" spans="1:6" ht="25.5" customHeight="1" x14ac:dyDescent="0.2">
      <c r="A2184" s="27">
        <v>2182</v>
      </c>
      <c r="B2184" s="29" t="s">
        <v>1374</v>
      </c>
      <c r="C2184" s="29" t="str">
        <f ca="1">IFERROR(__xludf.DUMMYFUNCTION("GOOGLETRANSLATE(C4354,""en"",""hr"")"),"Rotirajuća spojka")</f>
        <v>Rotirajuća spojka</v>
      </c>
      <c r="D2184" s="28" t="s">
        <v>11</v>
      </c>
      <c r="E2184" s="29">
        <v>1</v>
      </c>
      <c r="F2184" s="17"/>
    </row>
    <row r="2185" spans="1:6" ht="25.5" customHeight="1" x14ac:dyDescent="0.2">
      <c r="A2185" s="27">
        <v>2183</v>
      </c>
      <c r="B2185" s="29" t="s">
        <v>1159</v>
      </c>
      <c r="C2185" s="29" t="str">
        <f ca="1">IFERROR(__xludf.DUMMYFUNCTION("GOOGLETRANSLATE(C3762,""en"",""hr"")"),"Rotirajuća spojka")</f>
        <v>Rotirajuća spojka</v>
      </c>
      <c r="D2185" s="28" t="s">
        <v>11</v>
      </c>
      <c r="E2185" s="29">
        <v>1</v>
      </c>
      <c r="F2185" s="17"/>
    </row>
    <row r="2186" spans="1:6" ht="25.5" customHeight="1" x14ac:dyDescent="0.2">
      <c r="A2186" s="27">
        <v>2184</v>
      </c>
      <c r="B2186" s="29" t="s">
        <v>1790</v>
      </c>
      <c r="C2186" s="29" t="str">
        <f ca="1">IFERROR(__xludf.DUMMYFUNCTION("GOOGLETRANSLATE(C6210,""en"",""hr"")"),"Rotirajuća spojka")</f>
        <v>Rotirajuća spojka</v>
      </c>
      <c r="D2186" s="28" t="s">
        <v>11</v>
      </c>
      <c r="E2186" s="29">
        <v>1</v>
      </c>
      <c r="F2186" s="17"/>
    </row>
    <row r="2187" spans="1:6" ht="25.5" customHeight="1" x14ac:dyDescent="0.2">
      <c r="A2187" s="27">
        <v>2185</v>
      </c>
      <c r="B2187" s="29" t="s">
        <v>1792</v>
      </c>
      <c r="C2187" s="29" t="str">
        <f ca="1">IFERROR(__xludf.DUMMYFUNCTION("GOOGLETRANSLATE(C6229,""en"",""hr"")"),"Koljenasti vijčani spoj")</f>
        <v>Koljenasti vijčani spoj</v>
      </c>
      <c r="D2187" s="28" t="s">
        <v>11</v>
      </c>
      <c r="E2187" s="29">
        <v>1</v>
      </c>
      <c r="F2187" s="17"/>
    </row>
    <row r="2188" spans="1:6" ht="25.5" customHeight="1" x14ac:dyDescent="0.2">
      <c r="A2188" s="27">
        <v>2186</v>
      </c>
      <c r="B2188" s="29" t="s">
        <v>1404</v>
      </c>
      <c r="C2188" s="29" t="str">
        <f ca="1">IFERROR(__xludf.DUMMYFUNCTION("GOOGLETRANSLATE(C4557,""en"",""hr"")"),"T-utičnica")</f>
        <v>T-utičnica</v>
      </c>
      <c r="D2188" s="28" t="s">
        <v>11</v>
      </c>
      <c r="E2188" s="29">
        <v>1</v>
      </c>
      <c r="F2188" s="17"/>
    </row>
    <row r="2189" spans="1:6" ht="25.5" customHeight="1" x14ac:dyDescent="0.2">
      <c r="A2189" s="27">
        <v>2187</v>
      </c>
      <c r="B2189" s="29" t="s">
        <v>703</v>
      </c>
      <c r="C2189" s="29" t="str">
        <f ca="1">IFERROR(__xludf.DUMMYFUNCTION("GOOGLETRANSLATE(C2219,""en"",""hr"")"),"T-utičnica")</f>
        <v>T-utičnica</v>
      </c>
      <c r="D2189" s="28" t="s">
        <v>11</v>
      </c>
      <c r="E2189" s="29">
        <v>1</v>
      </c>
      <c r="F2189" s="17"/>
    </row>
    <row r="2190" spans="1:6" ht="25.5" customHeight="1" x14ac:dyDescent="0.2">
      <c r="A2190" s="27">
        <v>2188</v>
      </c>
      <c r="B2190" s="29" t="s">
        <v>370</v>
      </c>
      <c r="C2190" s="29" t="str">
        <f ca="1">IFERROR(__xludf.DUMMYFUNCTION("GOOGLETRANSLATE(C843,""en"",""hr"")"),"Priključak")</f>
        <v>Priključak</v>
      </c>
      <c r="D2190" s="28" t="s">
        <v>11</v>
      </c>
      <c r="E2190" s="29">
        <v>1</v>
      </c>
      <c r="F2190" s="17"/>
    </row>
    <row r="2191" spans="1:6" ht="25.5" customHeight="1" x14ac:dyDescent="0.2">
      <c r="A2191" s="27">
        <v>2189</v>
      </c>
      <c r="B2191" s="29" t="s">
        <v>1252</v>
      </c>
      <c r="C2191" s="29" t="str">
        <f ca="1">IFERROR(__xludf.DUMMYFUNCTION("GOOGLETRANSLATE(C3961,""en"",""hr"")"),"Priključak")</f>
        <v>Priključak</v>
      </c>
      <c r="D2191" s="28" t="s">
        <v>11</v>
      </c>
      <c r="E2191" s="29">
        <v>1</v>
      </c>
      <c r="F2191" s="17"/>
    </row>
    <row r="2192" spans="1:6" ht="25.5" customHeight="1" x14ac:dyDescent="0.2">
      <c r="A2192" s="27">
        <v>2190</v>
      </c>
      <c r="B2192" s="29" t="s">
        <v>482</v>
      </c>
      <c r="C2192" s="29" t="str">
        <f ca="1">IFERROR(__xludf.DUMMYFUNCTION("GOOGLETRANSLATE(C1161,""en"",""hr"")"),"Veza")</f>
        <v>Veza</v>
      </c>
      <c r="D2192" s="28" t="s">
        <v>11</v>
      </c>
      <c r="E2192" s="29">
        <v>1</v>
      </c>
      <c r="F2192" s="17"/>
    </row>
    <row r="2193" spans="1:9" ht="25.5" customHeight="1" x14ac:dyDescent="0.2">
      <c r="A2193" s="27">
        <v>2191</v>
      </c>
      <c r="B2193" s="29" t="s">
        <v>1698</v>
      </c>
      <c r="C2193" s="29" t="str">
        <f ca="1">IFERROR(__xludf.DUMMYFUNCTION("GOOGLETRANSLATE(C5893,""en"",""hr"")"),"Povratni ventil")</f>
        <v>Povratni ventil</v>
      </c>
      <c r="D2193" s="28" t="s">
        <v>11</v>
      </c>
      <c r="E2193" s="29">
        <v>1</v>
      </c>
      <c r="F2193" s="17"/>
    </row>
    <row r="2194" spans="1:9" ht="25.5" customHeight="1" x14ac:dyDescent="0.2">
      <c r="A2194" s="27">
        <v>2192</v>
      </c>
      <c r="B2194" s="29" t="s">
        <v>365</v>
      </c>
      <c r="C2194" s="29" t="str">
        <f ca="1">IFERROR(__xludf.DUMMYFUNCTION("GOOGLETRANSLATE(C823,""en"",""hr"")"),"Cijev")</f>
        <v>Cijev</v>
      </c>
      <c r="D2194" s="28" t="s">
        <v>11</v>
      </c>
      <c r="E2194" s="29">
        <v>1</v>
      </c>
      <c r="F2194" s="17"/>
    </row>
    <row r="2195" spans="1:9" ht="25.5" customHeight="1" x14ac:dyDescent="0.2">
      <c r="A2195" s="27">
        <v>2193</v>
      </c>
      <c r="B2195" s="29" t="s">
        <v>366</v>
      </c>
      <c r="C2195" s="29" t="str">
        <f ca="1">IFERROR(__xludf.DUMMYFUNCTION("GOOGLETRANSLATE(C824,""en"",""hr"")"),"Crijevo")</f>
        <v>Crijevo</v>
      </c>
      <c r="D2195" s="28" t="s">
        <v>11</v>
      </c>
      <c r="E2195" s="29">
        <v>1</v>
      </c>
      <c r="F2195" s="17"/>
      <c r="I2195" s="4" t="b">
        <f>INT(F2193*100)=(F2193*100)</f>
        <v>1</v>
      </c>
    </row>
    <row r="2196" spans="1:9" ht="25.5" customHeight="1" x14ac:dyDescent="0.2">
      <c r="A2196" s="27">
        <v>2194</v>
      </c>
      <c r="B2196" s="29" t="s">
        <v>699</v>
      </c>
      <c r="C2196" s="29" t="str">
        <f ca="1">IFERROR(__xludf.DUMMYFUNCTION("GOOGLETRANSLATE(C2208,""en"",""hr"")"),"Zaštita crijeva")</f>
        <v>Zaštita crijeva</v>
      </c>
      <c r="D2196" s="28" t="s">
        <v>11</v>
      </c>
      <c r="E2196" s="29">
        <v>1</v>
      </c>
      <c r="F2196" s="17"/>
    </row>
    <row r="2197" spans="1:9" ht="25.5" customHeight="1" x14ac:dyDescent="0.2">
      <c r="A2197" s="27">
        <v>2195</v>
      </c>
      <c r="B2197" s="29" t="s">
        <v>448</v>
      </c>
      <c r="C2197" s="29" t="str">
        <f ca="1">IFERROR(__xludf.DUMMYFUNCTION("GOOGLETRANSLATE(C1073,""en"",""hr"")"),"Cijev za gorivo")</f>
        <v>Cijev za gorivo</v>
      </c>
      <c r="D2197" s="28" t="s">
        <v>11</v>
      </c>
      <c r="E2197" s="29">
        <v>1</v>
      </c>
      <c r="F2197" s="17"/>
    </row>
    <row r="2198" spans="1:9" ht="25.5" customHeight="1" x14ac:dyDescent="0.2">
      <c r="A2198" s="27">
        <v>2196</v>
      </c>
      <c r="B2198" s="29" t="s">
        <v>449</v>
      </c>
      <c r="C2198" s="29" t="str">
        <f ca="1">IFERROR(__xludf.DUMMYFUNCTION("GOOGLETRANSLATE(C1074,""en"",""hr"")"),"Crijevo")</f>
        <v>Crijevo</v>
      </c>
      <c r="D2198" s="28" t="s">
        <v>11</v>
      </c>
      <c r="E2198" s="29">
        <v>1</v>
      </c>
      <c r="F2198" s="17"/>
      <c r="I2198" s="4" t="b">
        <f>INT(F2196*100)=(F2196*100)</f>
        <v>1</v>
      </c>
    </row>
    <row r="2199" spans="1:9" ht="25.5" customHeight="1" x14ac:dyDescent="0.2">
      <c r="A2199" s="27">
        <v>2197</v>
      </c>
      <c r="B2199" s="29" t="s">
        <v>1326</v>
      </c>
      <c r="C2199" s="29" t="str">
        <f ca="1">IFERROR(__xludf.DUMMYFUNCTION("GOOGLETRANSLATE(C4170,""en"",""hr"")"),"Cijev za vodu po metru")</f>
        <v>Cijev za vodu po metru</v>
      </c>
      <c r="D2199" s="28" t="s">
        <v>11</v>
      </c>
      <c r="E2199" s="29">
        <v>1</v>
      </c>
      <c r="F2199" s="17"/>
    </row>
    <row r="2200" spans="1:9" ht="25.5" customHeight="1" x14ac:dyDescent="0.2">
      <c r="A2200" s="27">
        <v>2198</v>
      </c>
      <c r="B2200" s="29" t="s">
        <v>1260</v>
      </c>
      <c r="C2200" s="29" t="str">
        <f ca="1">IFERROR(__xludf.DUMMYFUNCTION("GOOGLETRANSLATE(C3981,""en"",""hr"")"),"Cijev za vodu po metru")</f>
        <v>Cijev za vodu po metru</v>
      </c>
      <c r="D2200" s="28" t="s">
        <v>11</v>
      </c>
      <c r="E2200" s="29">
        <v>1</v>
      </c>
      <c r="F2200" s="17"/>
    </row>
    <row r="2201" spans="1:9" ht="25.5" customHeight="1" x14ac:dyDescent="0.2">
      <c r="A2201" s="27">
        <v>2199</v>
      </c>
      <c r="B2201" s="29" t="s">
        <v>1328</v>
      </c>
      <c r="C2201" s="29" t="str">
        <f ca="1">IFERROR(__xludf.DUMMYFUNCTION("GOOGLETRANSLATE(C4176,""en"",""hr"")"),"Crijevo")</f>
        <v>Crijevo</v>
      </c>
      <c r="D2201" s="28" t="s">
        <v>11</v>
      </c>
      <c r="E2201" s="29">
        <v>1</v>
      </c>
      <c r="F2201" s="17"/>
    </row>
    <row r="2202" spans="1:9" ht="25.5" customHeight="1" x14ac:dyDescent="0.2">
      <c r="A2202" s="27">
        <v>2200</v>
      </c>
      <c r="B2202" s="29" t="s">
        <v>1217</v>
      </c>
      <c r="C2202" s="29" t="str">
        <f ca="1">IFERROR(__xludf.DUMMYFUNCTION("GOOGLETRANSLATE(C3852,""en"",""hr"")"),"Crijevo za vodu 10 metara")</f>
        <v>Crijevo za vodu 10 metara</v>
      </c>
      <c r="D2202" s="28" t="s">
        <v>11</v>
      </c>
      <c r="E2202" s="29">
        <v>1</v>
      </c>
      <c r="F2202" s="17"/>
      <c r="I2202" s="4" t="b">
        <f>INT(F2200*100)=(F2200*100)</f>
        <v>1</v>
      </c>
    </row>
    <row r="2203" spans="1:9" ht="25.5" customHeight="1" x14ac:dyDescent="0.2">
      <c r="A2203" s="27">
        <v>2201</v>
      </c>
      <c r="B2203" s="29" t="s">
        <v>1535</v>
      </c>
      <c r="C2203" s="29" t="str">
        <f ca="1">IFERROR(__xludf.DUMMYFUNCTION("GOOGLETRANSLATE(C5197,""en"",""hr"")"),"Crijevo")</f>
        <v>Crijevo</v>
      </c>
      <c r="D2203" s="28" t="s">
        <v>11</v>
      </c>
      <c r="E2203" s="29">
        <v>1</v>
      </c>
      <c r="F2203" s="17"/>
    </row>
    <row r="2204" spans="1:9" ht="25.5" customHeight="1" x14ac:dyDescent="0.2">
      <c r="A2204" s="27">
        <v>2202</v>
      </c>
      <c r="B2204" s="29" t="s">
        <v>1259</v>
      </c>
      <c r="C2204" s="29" t="str">
        <f ca="1">IFERROR(__xludf.DUMMYFUNCTION("GOOGLETRANSLATE(C3980,""en"",""hr"")"),"Spiralno crijevo")</f>
        <v>Spiralno crijevo</v>
      </c>
      <c r="D2204" s="28" t="s">
        <v>11</v>
      </c>
      <c r="E2204" s="29">
        <v>1</v>
      </c>
      <c r="F2204" s="17"/>
    </row>
    <row r="2205" spans="1:9" ht="25.5" customHeight="1" x14ac:dyDescent="0.2">
      <c r="A2205" s="27">
        <v>2203</v>
      </c>
      <c r="B2205" s="29" t="s">
        <v>1136</v>
      </c>
      <c r="C2205" s="29" t="str">
        <f ca="1">IFERROR(__xludf.DUMMYFUNCTION("GOOGLETRANSLATE(C3694,""en"",""hr"")"),"Tlačno crijevo po metru")</f>
        <v>Tlačno crijevo po metru</v>
      </c>
      <c r="D2205" s="28" t="s">
        <v>11</v>
      </c>
      <c r="E2205" s="29">
        <v>1</v>
      </c>
      <c r="F2205" s="17"/>
    </row>
    <row r="2206" spans="1:9" ht="25.5" customHeight="1" x14ac:dyDescent="0.2">
      <c r="A2206" s="27">
        <v>2204</v>
      </c>
      <c r="B2206" s="29" t="s">
        <v>1106</v>
      </c>
      <c r="C2206" s="29" t="str">
        <f ca="1">IFERROR(__xludf.DUMMYFUNCTION("GOOGLETRANSLATE(C3576,""en"",""hr"")"),"Crijevo po metru")</f>
        <v>Crijevo po metru</v>
      </c>
      <c r="D2206" s="28" t="s">
        <v>11</v>
      </c>
      <c r="E2206" s="29">
        <v>1</v>
      </c>
      <c r="F2206" s="17"/>
    </row>
    <row r="2207" spans="1:9" ht="25.5" customHeight="1" x14ac:dyDescent="0.2">
      <c r="A2207" s="27">
        <v>2205</v>
      </c>
      <c r="B2207" s="29" t="s">
        <v>1470</v>
      </c>
      <c r="C2207" s="29" t="str">
        <f ca="1">IFERROR(__xludf.DUMMYFUNCTION("GOOGLETRANSLATE(C4917,""en"",""hr"")"),"Crijevo, Tlak")</f>
        <v>Crijevo, Tlak</v>
      </c>
      <c r="D2207" s="28" t="s">
        <v>11</v>
      </c>
      <c r="E2207" s="29">
        <v>1</v>
      </c>
      <c r="F2207" s="17"/>
    </row>
    <row r="2208" spans="1:9" ht="25.5" customHeight="1" x14ac:dyDescent="0.2">
      <c r="A2208" s="27">
        <v>2206</v>
      </c>
      <c r="B2208" s="29" t="s">
        <v>1115</v>
      </c>
      <c r="C2208" s="29" t="str">
        <f ca="1">IFERROR(__xludf.DUMMYFUNCTION("GOOGLETRANSLATE(C3605,""en"",""hr"")"),"Crijevo hladnjaka")</f>
        <v>Crijevo hladnjaka</v>
      </c>
      <c r="D2208" s="28" t="s">
        <v>11</v>
      </c>
      <c r="E2208" s="29">
        <v>1</v>
      </c>
      <c r="F2208" s="17"/>
    </row>
    <row r="2209" spans="1:9" ht="25.5" customHeight="1" x14ac:dyDescent="0.2">
      <c r="A2209" s="27">
        <v>2207</v>
      </c>
      <c r="B2209" s="29" t="s">
        <v>587</v>
      </c>
      <c r="C2209" s="29" t="str">
        <f ca="1">IFERROR(__xludf.DUMMYFUNCTION("GOOGLETRANSLATE(C1628,""en"",""hr"")"),"Crijevo po metru")</f>
        <v>Crijevo po metru</v>
      </c>
      <c r="D2209" s="28" t="s">
        <v>11</v>
      </c>
      <c r="E2209" s="29">
        <v>1</v>
      </c>
      <c r="F2209" s="17"/>
    </row>
    <row r="2210" spans="1:9" ht="25.5" customHeight="1" x14ac:dyDescent="0.2">
      <c r="A2210" s="27">
        <v>2208</v>
      </c>
      <c r="B2210" s="29" t="s">
        <v>585</v>
      </c>
      <c r="C2210" s="29" t="str">
        <f ca="1">IFERROR(__xludf.DUMMYFUNCTION("GOOGLETRANSLATE(C1622,""en"",""hr"")"),"Crijevo po metru")</f>
        <v>Crijevo po metru</v>
      </c>
      <c r="D2210" s="28" t="s">
        <v>11</v>
      </c>
      <c r="E2210" s="29">
        <v>1</v>
      </c>
      <c r="F2210" s="17"/>
    </row>
    <row r="2211" spans="1:9" ht="25.5" customHeight="1" x14ac:dyDescent="0.2">
      <c r="A2211" s="27">
        <v>2209</v>
      </c>
      <c r="B2211" s="29" t="s">
        <v>542</v>
      </c>
      <c r="C2211" s="29" t="str">
        <f ca="1">IFERROR(__xludf.DUMMYFUNCTION("GOOGLETRANSLATE(C1431,""en"",""hr"")"),"Crijevo po metru")</f>
        <v>Crijevo po metru</v>
      </c>
      <c r="D2211" s="28" t="s">
        <v>11</v>
      </c>
      <c r="E2211" s="29">
        <v>1</v>
      </c>
      <c r="F2211" s="17"/>
    </row>
    <row r="2212" spans="1:9" ht="25.5" customHeight="1" x14ac:dyDescent="0.2">
      <c r="A2212" s="27">
        <v>2210</v>
      </c>
      <c r="B2212" s="29" t="s">
        <v>586</v>
      </c>
      <c r="C2212" s="29" t="str">
        <f ca="1">IFERROR(__xludf.DUMMYFUNCTION("GOOGLETRANSLATE(C1623,""en"",""hr"")"),"Crijevo")</f>
        <v>Crijevo</v>
      </c>
      <c r="D2212" s="28" t="s">
        <v>11</v>
      </c>
      <c r="E2212" s="29">
        <v>1</v>
      </c>
      <c r="F2212" s="17"/>
    </row>
    <row r="2213" spans="1:9" ht="25.5" customHeight="1" x14ac:dyDescent="0.2">
      <c r="A2213" s="27">
        <v>2211</v>
      </c>
      <c r="B2213" s="29" t="s">
        <v>1537</v>
      </c>
      <c r="C2213" s="29" t="str">
        <f ca="1">IFERROR(__xludf.DUMMYFUNCTION("GOOGLETRANSLATE(C5211,""en"",""hr"")"),"Crijevo")</f>
        <v>Crijevo</v>
      </c>
      <c r="D2213" s="28" t="s">
        <v>11</v>
      </c>
      <c r="E2213" s="29">
        <v>1</v>
      </c>
      <c r="F2213" s="17"/>
    </row>
    <row r="2214" spans="1:9" ht="25.5" customHeight="1" x14ac:dyDescent="0.2">
      <c r="A2214" s="27">
        <v>2212</v>
      </c>
      <c r="B2214" s="29" t="s">
        <v>201</v>
      </c>
      <c r="C2214" s="29" t="str">
        <f ca="1">IFERROR(__xludf.DUMMYFUNCTION("GOOGLETRANSLATE(C435,""en"",""hr"")"),"Zavojnica vrpce")</f>
        <v>Zavojnica vrpce</v>
      </c>
      <c r="D2214" s="28" t="s">
        <v>11</v>
      </c>
      <c r="E2214" s="29">
        <v>1</v>
      </c>
      <c r="F2214" s="17"/>
    </row>
    <row r="2215" spans="1:9" ht="25.5" customHeight="1" x14ac:dyDescent="0.2">
      <c r="A2215" s="27">
        <v>2213</v>
      </c>
      <c r="B2215" s="29" t="s">
        <v>202</v>
      </c>
      <c r="C2215" s="29" t="str">
        <f ca="1">IFERROR(__xludf.DUMMYFUNCTION("GOOGLETRANSLATE(C436,""en"",""hr"")"),"Zavojnica vrpce")</f>
        <v>Zavojnica vrpce</v>
      </c>
      <c r="D2215" s="28" t="s">
        <v>11</v>
      </c>
      <c r="E2215" s="29">
        <v>1</v>
      </c>
      <c r="F2215" s="17"/>
    </row>
    <row r="2216" spans="1:9" ht="25.5" customHeight="1" x14ac:dyDescent="0.2">
      <c r="A2216" s="27">
        <v>2214</v>
      </c>
      <c r="B2216" s="29" t="s">
        <v>1794</v>
      </c>
      <c r="C2216" s="29" t="str">
        <f ca="1">IFERROR(__xludf.DUMMYFUNCTION("GOOGLETRANSLATE(C6235,""en"",""hr"")"),"Zavojnica vrpce")</f>
        <v>Zavojnica vrpce</v>
      </c>
      <c r="D2216" s="28" t="s">
        <v>11</v>
      </c>
      <c r="E2216" s="29">
        <v>1</v>
      </c>
      <c r="F2216" s="17"/>
    </row>
    <row r="2217" spans="1:9" ht="25.5" customHeight="1" x14ac:dyDescent="0.2">
      <c r="A2217" s="27">
        <v>2215</v>
      </c>
      <c r="B2217" s="29" t="s">
        <v>367</v>
      </c>
      <c r="C2217" s="29" t="str">
        <f ca="1">IFERROR(__xludf.DUMMYFUNCTION("GOOGLETRANSLATE(C825,""en"",""hr"")"),"Zavojnica vrpce")</f>
        <v>Zavojnica vrpce</v>
      </c>
      <c r="D2217" s="28" t="s">
        <v>11</v>
      </c>
      <c r="E2217" s="29">
        <v>1</v>
      </c>
      <c r="F2217" s="17"/>
    </row>
    <row r="2218" spans="1:9" ht="25.5" customHeight="1" x14ac:dyDescent="0.2">
      <c r="A2218" s="27">
        <v>2216</v>
      </c>
      <c r="B2218" s="29" t="s">
        <v>795</v>
      </c>
      <c r="C2218" s="29" t="str">
        <f ca="1">IFERROR(__xludf.DUMMYFUNCTION("GOOGLETRANSLATE(C2428,""en"",""hr"")"),"Stezaljka")</f>
        <v>Stezaljka</v>
      </c>
      <c r="D2218" s="28" t="s">
        <v>11</v>
      </c>
      <c r="E2218" s="29">
        <v>1</v>
      </c>
      <c r="F2218" s="17"/>
    </row>
    <row r="2219" spans="1:9" ht="25.5" customHeight="1" x14ac:dyDescent="0.2">
      <c r="A2219" s="27">
        <v>2217</v>
      </c>
      <c r="B2219" s="29" t="s">
        <v>935</v>
      </c>
      <c r="C2219" s="29" t="str">
        <f ca="1">IFERROR(__xludf.DUMMYFUNCTION("GOOGLETRANSLATE(C2853,""en"",""hr"")"),"Držač")</f>
        <v>Držač</v>
      </c>
      <c r="D2219" s="28" t="s">
        <v>11</v>
      </c>
      <c r="E2219" s="29">
        <v>1</v>
      </c>
      <c r="F2219" s="17"/>
    </row>
    <row r="2220" spans="1:9" ht="25.5" customHeight="1" x14ac:dyDescent="0.2">
      <c r="A2220" s="27">
        <v>2218</v>
      </c>
      <c r="B2220" s="29" t="s">
        <v>766</v>
      </c>
      <c r="C2220" s="29" t="str">
        <f ca="1">IFERROR(__xludf.DUMMYFUNCTION("GOOGLETRANSLATE(C2383,""en"",""hr"")"),"Stezaljka za cijevi")</f>
        <v>Stezaljka za cijevi</v>
      </c>
      <c r="D2220" s="28" t="s">
        <v>11</v>
      </c>
      <c r="E2220" s="29">
        <v>1</v>
      </c>
      <c r="F2220" s="17"/>
      <c r="I2220" s="4" t="b">
        <f>INT(F2218*100)=(F2218*100)</f>
        <v>1</v>
      </c>
    </row>
    <row r="2221" spans="1:9" ht="25.5" customHeight="1" x14ac:dyDescent="0.2">
      <c r="A2221" s="27">
        <v>2219</v>
      </c>
      <c r="B2221" s="29" t="s">
        <v>1648</v>
      </c>
      <c r="C2221" s="29" t="str">
        <f ca="1">IFERROR(__xludf.DUMMYFUNCTION("GOOGLETRANSLATE(C5576,""en"",""hr"")"),"Stezaljka za cijevi")</f>
        <v>Stezaljka za cijevi</v>
      </c>
      <c r="D2221" s="28" t="s">
        <v>11</v>
      </c>
      <c r="E2221" s="29">
        <v>1</v>
      </c>
      <c r="F2221" s="17"/>
    </row>
    <row r="2222" spans="1:9" ht="25.5" customHeight="1" x14ac:dyDescent="0.2">
      <c r="A2222" s="27">
        <v>2220</v>
      </c>
      <c r="B2222" s="29" t="s">
        <v>1791</v>
      </c>
      <c r="C2222" s="29" t="str">
        <f ca="1">IFERROR(__xludf.DUMMYFUNCTION("GOOGLETRANSLATE(C6228,""en"",""hr"")"),"Stezaljka za cijevi")</f>
        <v>Stezaljka za cijevi</v>
      </c>
      <c r="D2222" s="28" t="s">
        <v>11</v>
      </c>
      <c r="E2222" s="29">
        <v>1</v>
      </c>
      <c r="F2222" s="17"/>
    </row>
    <row r="2223" spans="1:9" ht="25.5" customHeight="1" x14ac:dyDescent="0.2">
      <c r="A2223" s="27">
        <v>2221</v>
      </c>
      <c r="B2223" s="29" t="s">
        <v>1649</v>
      </c>
      <c r="C2223" s="29" t="str">
        <f ca="1">IFERROR(__xludf.DUMMYFUNCTION("GOOGLETRANSLATE(C5577,""en"",""hr"")"),"Stezaljka za cijevi")</f>
        <v>Stezaljka za cijevi</v>
      </c>
      <c r="D2223" s="28" t="s">
        <v>11</v>
      </c>
      <c r="E2223" s="29">
        <v>1</v>
      </c>
      <c r="F2223" s="17"/>
      <c r="I2223" s="4" t="b">
        <f>INT(F2221*100)=(F2221*100)</f>
        <v>1</v>
      </c>
    </row>
    <row r="2224" spans="1:9" ht="25.5" customHeight="1" x14ac:dyDescent="0.2">
      <c r="A2224" s="27">
        <v>2222</v>
      </c>
      <c r="B2224" s="29" t="s">
        <v>257</v>
      </c>
      <c r="C2224" s="29" t="str">
        <f ca="1">IFERROR(__xludf.DUMMYFUNCTION("GOOGLETRANSLATE(C557,""en"",""hr"")"),"Stezaljka za cijevi")</f>
        <v>Stezaljka za cijevi</v>
      </c>
      <c r="D2224" s="28" t="s">
        <v>11</v>
      </c>
      <c r="E2224" s="29">
        <v>1</v>
      </c>
      <c r="F2224" s="17"/>
    </row>
    <row r="2225" spans="1:9" ht="25.5" customHeight="1" x14ac:dyDescent="0.2">
      <c r="A2225" s="27">
        <v>2223</v>
      </c>
      <c r="B2225" s="29" t="s">
        <v>854</v>
      </c>
      <c r="C2225" s="29" t="str">
        <f ca="1">IFERROR(__xludf.DUMMYFUNCTION("GOOGLETRANSLATE(C2522,""en"",""hr"")"),"Stezaljka za cijevi")</f>
        <v>Stezaljka za cijevi</v>
      </c>
      <c r="D2225" s="28" t="s">
        <v>11</v>
      </c>
      <c r="E2225" s="29">
        <v>1</v>
      </c>
      <c r="F2225" s="17"/>
    </row>
    <row r="2226" spans="1:9" ht="25.5" customHeight="1" x14ac:dyDescent="0.2">
      <c r="A2226" s="27">
        <v>2224</v>
      </c>
      <c r="B2226" s="29" t="s">
        <v>427</v>
      </c>
      <c r="C2226" s="29" t="str">
        <f ca="1">IFERROR(__xludf.DUMMYFUNCTION("GOOGLETRANSLATE(C1012,""en"",""hr"")"),"Stezaljka za cijevi")</f>
        <v>Stezaljka za cijevi</v>
      </c>
      <c r="D2226" s="28" t="s">
        <v>11</v>
      </c>
      <c r="E2226" s="29">
        <v>1</v>
      </c>
      <c r="F2226" s="17"/>
    </row>
    <row r="2227" spans="1:9" ht="25.5" customHeight="1" x14ac:dyDescent="0.2">
      <c r="A2227" s="27">
        <v>2225</v>
      </c>
      <c r="B2227" s="29" t="s">
        <v>832</v>
      </c>
      <c r="C2227" s="29" t="str">
        <f ca="1">IFERROR(__xludf.DUMMYFUNCTION("GOOGLETRANSLATE(C2491,""en"",""hr"")"),"Stezaljka za cijevi")</f>
        <v>Stezaljka za cijevi</v>
      </c>
      <c r="D2227" s="28" t="s">
        <v>11</v>
      </c>
      <c r="E2227" s="29">
        <v>1</v>
      </c>
      <c r="F2227" s="17"/>
      <c r="I2227" s="4" t="b">
        <f>INT(F2225*100)=(F2225*100)</f>
        <v>1</v>
      </c>
    </row>
    <row r="2228" spans="1:9" ht="25.5" customHeight="1" x14ac:dyDescent="0.2">
      <c r="A2228" s="27">
        <v>2226</v>
      </c>
      <c r="B2228" s="29" t="s">
        <v>1653</v>
      </c>
      <c r="C2228" s="29" t="str">
        <f ca="1">IFERROR(__xludf.DUMMYFUNCTION("GOOGLETRANSLATE(C5622,""en"",""hr"")"),"Stezaljka za cijevi")</f>
        <v>Stezaljka za cijevi</v>
      </c>
      <c r="D2228" s="28" t="s">
        <v>11</v>
      </c>
      <c r="E2228" s="29">
        <v>1</v>
      </c>
      <c r="F2228" s="17"/>
    </row>
    <row r="2229" spans="1:9" ht="25.5" customHeight="1" x14ac:dyDescent="0.2">
      <c r="A2229" s="27">
        <v>2227</v>
      </c>
      <c r="B2229" s="29" t="s">
        <v>433</v>
      </c>
      <c r="C2229" s="29" t="str">
        <f ca="1">IFERROR(__xludf.DUMMYFUNCTION("GOOGLETRANSLATE(C1032,""en"",""hr"")"),"Stezaljka za cijevi")</f>
        <v>Stezaljka za cijevi</v>
      </c>
      <c r="D2229" s="28" t="s">
        <v>11</v>
      </c>
      <c r="E2229" s="29">
        <v>1</v>
      </c>
      <c r="F2229" s="17"/>
    </row>
    <row r="2230" spans="1:9" ht="25.5" customHeight="1" x14ac:dyDescent="0.2">
      <c r="A2230" s="27">
        <v>2228</v>
      </c>
      <c r="B2230" s="29" t="s">
        <v>1665</v>
      </c>
      <c r="C2230" s="29" t="str">
        <f ca="1">IFERROR(__xludf.DUMMYFUNCTION("GOOGLETRANSLATE(C5713,""en"",""hr"")"),"Stezaljka za cijevi")</f>
        <v>Stezaljka za cijevi</v>
      </c>
      <c r="D2230" s="28" t="s">
        <v>11</v>
      </c>
      <c r="E2230" s="29">
        <v>1</v>
      </c>
      <c r="F2230" s="17"/>
    </row>
    <row r="2231" spans="1:9" ht="25.5" customHeight="1" x14ac:dyDescent="0.2">
      <c r="A2231" s="27">
        <v>2229</v>
      </c>
      <c r="B2231" s="29" t="s">
        <v>407</v>
      </c>
      <c r="C2231" s="29" t="str">
        <f ca="1">IFERROR(__xludf.DUMMYFUNCTION("GOOGLETRANSLATE(C952,""en"",""hr"")"),"Tijelo kopče")</f>
        <v>Tijelo kopče</v>
      </c>
      <c r="D2231" s="28" t="s">
        <v>11</v>
      </c>
      <c r="E2231" s="29">
        <v>1</v>
      </c>
      <c r="F2231" s="17"/>
    </row>
    <row r="2232" spans="1:9" ht="25.5" customHeight="1" x14ac:dyDescent="0.2">
      <c r="A2232" s="27">
        <v>2230</v>
      </c>
      <c r="B2232" s="29" t="s">
        <v>1229</v>
      </c>
      <c r="C2232" s="29" t="str">
        <f ca="1">IFERROR(__xludf.DUMMYFUNCTION("GOOGLETRANSLATE(C3917,""en"",""hr"")"),"Tijelo kopče")</f>
        <v>Tijelo kopče</v>
      </c>
      <c r="D2232" s="28" t="s">
        <v>11</v>
      </c>
      <c r="E2232" s="29">
        <v>1</v>
      </c>
      <c r="F2232" s="17"/>
    </row>
    <row r="2233" spans="1:9" ht="25.5" customHeight="1" x14ac:dyDescent="0.2">
      <c r="A2233" s="27">
        <v>2231</v>
      </c>
      <c r="B2233" s="29" t="s">
        <v>1721</v>
      </c>
      <c r="C2233" s="29" t="str">
        <f ca="1">IFERROR(__xludf.DUMMYFUNCTION("GOOGLETRANSLATE(C5983,""en"",""hr"")"),"Poklopna ploča")</f>
        <v>Poklopna ploča</v>
      </c>
      <c r="D2233" s="28" t="s">
        <v>11</v>
      </c>
      <c r="E2233" s="29">
        <v>1</v>
      </c>
      <c r="F2233" s="17"/>
    </row>
    <row r="2234" spans="1:9" ht="25.5" customHeight="1" x14ac:dyDescent="0.2">
      <c r="A2234" s="27">
        <v>2232</v>
      </c>
      <c r="B2234" s="29" t="s">
        <v>159</v>
      </c>
      <c r="C2234" s="29" t="str">
        <f ca="1">IFERROR(__xludf.DUMMYFUNCTION("GOOGLETRANSLATE(C307,""en"",""hr"")"),"Kontra ploča")</f>
        <v>Kontra ploča</v>
      </c>
      <c r="D2234" s="28" t="s">
        <v>11</v>
      </c>
      <c r="E2234" s="29">
        <v>1</v>
      </c>
      <c r="F2234" s="17"/>
    </row>
    <row r="2235" spans="1:9" ht="25.5" customHeight="1" x14ac:dyDescent="0.2">
      <c r="A2235" s="27">
        <v>2233</v>
      </c>
      <c r="B2235" s="29" t="s">
        <v>1427</v>
      </c>
      <c r="C2235" s="29" t="str">
        <f ca="1">IFERROR(__xludf.DUMMYFUNCTION("GOOGLETRANSLATE(C4636,""en"",""hr"")"),"Poklopna ploča")</f>
        <v>Poklopna ploča</v>
      </c>
      <c r="D2235" s="28" t="s">
        <v>11</v>
      </c>
      <c r="E2235" s="29">
        <v>1</v>
      </c>
      <c r="F2235" s="17"/>
    </row>
    <row r="2236" spans="1:9" ht="25.5" customHeight="1" x14ac:dyDescent="0.2">
      <c r="A2236" s="27">
        <v>2234</v>
      </c>
      <c r="B2236" s="29" t="s">
        <v>1009</v>
      </c>
      <c r="C2236" s="29" t="str">
        <f ca="1">IFERROR(__xludf.DUMMYFUNCTION("GOOGLETRANSLATE(C3239,""en"",""hr"")"),"Stezaljka za crijevo")</f>
        <v>Stezaljka za crijevo</v>
      </c>
      <c r="D2236" s="28" t="s">
        <v>11</v>
      </c>
      <c r="E2236" s="29">
        <v>1</v>
      </c>
      <c r="F2236" s="17"/>
    </row>
    <row r="2237" spans="1:9" ht="25.5" customHeight="1" x14ac:dyDescent="0.2">
      <c r="A2237" s="27">
        <v>2235</v>
      </c>
      <c r="B2237" s="29" t="s">
        <v>1704</v>
      </c>
      <c r="C2237" s="29" t="str">
        <f ca="1">IFERROR(__xludf.DUMMYFUNCTION("GOOGLETRANSLATE(C5917,""en"",""hr"")"),"Stezaljka za cijevi")</f>
        <v>Stezaljka za cijevi</v>
      </c>
      <c r="D2237" s="28" t="s">
        <v>11</v>
      </c>
      <c r="E2237" s="29">
        <v>1</v>
      </c>
      <c r="F2237" s="17"/>
    </row>
    <row r="2238" spans="1:9" ht="25.5" customHeight="1" x14ac:dyDescent="0.2">
      <c r="A2238" s="27">
        <v>2236</v>
      </c>
      <c r="B2238" s="29" t="s">
        <v>1723</v>
      </c>
      <c r="C2238" s="29" t="str">
        <f ca="1">IFERROR(__xludf.DUMMYFUNCTION("GOOGLETRANSLATE(C5987,""en"",""hr"")"),"Stezaljka za cijevi")</f>
        <v>Stezaljka za cijevi</v>
      </c>
      <c r="D2238" s="28" t="s">
        <v>11</v>
      </c>
      <c r="E2238" s="29">
        <v>1</v>
      </c>
      <c r="F2238" s="17"/>
    </row>
    <row r="2239" spans="1:9" ht="25.5" customHeight="1" x14ac:dyDescent="0.2">
      <c r="A2239" s="27">
        <v>2237</v>
      </c>
      <c r="B2239" s="29" t="s">
        <v>157</v>
      </c>
      <c r="C2239" s="29" t="str">
        <f ca="1">IFERROR(__xludf.DUMMYFUNCTION("GOOGLETRANSLATE(C304,""en"",""hr"")"),"Stezaljka za cijevi")</f>
        <v>Stezaljka za cijevi</v>
      </c>
      <c r="D2239" s="28" t="s">
        <v>11</v>
      </c>
      <c r="E2239" s="29">
        <v>1</v>
      </c>
      <c r="F2239" s="17"/>
    </row>
    <row r="2240" spans="1:9" ht="25.5" customHeight="1" x14ac:dyDescent="0.2">
      <c r="A2240" s="27">
        <v>2238</v>
      </c>
      <c r="B2240" s="29" t="s">
        <v>1731</v>
      </c>
      <c r="C2240" s="29" t="str">
        <f ca="1">IFERROR(__xludf.DUMMYFUNCTION("GOOGLETRANSLATE(C6013,""en"",""hr"")"),"Stezaljka za cijevi")</f>
        <v>Stezaljka za cijevi</v>
      </c>
      <c r="D2240" s="28" t="s">
        <v>11</v>
      </c>
      <c r="E2240" s="29">
        <v>1</v>
      </c>
      <c r="F2240" s="17"/>
    </row>
    <row r="2241" spans="1:9" ht="25.5" customHeight="1" x14ac:dyDescent="0.2">
      <c r="A2241" s="27">
        <v>2239</v>
      </c>
      <c r="B2241" s="29" t="s">
        <v>1412</v>
      </c>
      <c r="C2241" s="29" t="str">
        <f ca="1">IFERROR(__xludf.DUMMYFUNCTION("GOOGLETRANSLATE(C4581,""en"",""hr"")"),"Stezaljka za cijevi")</f>
        <v>Stezaljka za cijevi</v>
      </c>
      <c r="D2241" s="28" t="s">
        <v>11</v>
      </c>
      <c r="E2241" s="29">
        <v>1</v>
      </c>
      <c r="F2241" s="17"/>
    </row>
    <row r="2242" spans="1:9" ht="25.5" customHeight="1" x14ac:dyDescent="0.2">
      <c r="A2242" s="27">
        <v>2240</v>
      </c>
      <c r="B2242" s="29" t="s">
        <v>1425</v>
      </c>
      <c r="C2242" s="29" t="str">
        <f ca="1">IFERROR(__xludf.DUMMYFUNCTION("GOOGLETRANSLATE(C4629,""en"",""hr"")"),"Stezaljka za cijevi")</f>
        <v>Stezaljka za cijevi</v>
      </c>
      <c r="D2242" s="28" t="s">
        <v>11</v>
      </c>
      <c r="E2242" s="29">
        <v>1</v>
      </c>
      <c r="F2242" s="17"/>
    </row>
    <row r="2243" spans="1:9" ht="25.5" customHeight="1" x14ac:dyDescent="0.2">
      <c r="A2243" s="27">
        <v>2241</v>
      </c>
      <c r="B2243" s="29" t="s">
        <v>1706</v>
      </c>
      <c r="C2243" s="29" t="str">
        <f ca="1">IFERROR(__xludf.DUMMYFUNCTION("GOOGLETRANSLATE(C5928,""en"",""hr"")"),"Stezaljka za cijevi")</f>
        <v>Stezaljka za cijevi</v>
      </c>
      <c r="D2243" s="28" t="s">
        <v>11</v>
      </c>
      <c r="E2243" s="29">
        <v>1</v>
      </c>
      <c r="F2243" s="17"/>
    </row>
    <row r="2244" spans="1:9" ht="25.5" customHeight="1" x14ac:dyDescent="0.2">
      <c r="A2244" s="27">
        <v>2242</v>
      </c>
      <c r="B2244" s="29" t="s">
        <v>440</v>
      </c>
      <c r="C2244" s="29" t="str">
        <f ca="1">IFERROR(__xludf.DUMMYFUNCTION("GOOGLETRANSLATE(C1062,""en"",""hr"")"),"Stezaljka za crijevo")</f>
        <v>Stezaljka za crijevo</v>
      </c>
      <c r="D2244" s="28" t="s">
        <v>11</v>
      </c>
      <c r="E2244" s="29">
        <v>1</v>
      </c>
      <c r="F2244" s="17"/>
    </row>
    <row r="2245" spans="1:9" ht="25.5" customHeight="1" x14ac:dyDescent="0.2">
      <c r="A2245" s="27">
        <v>2243</v>
      </c>
      <c r="B2245" s="29" t="s">
        <v>445</v>
      </c>
      <c r="C2245" s="29" t="str">
        <f ca="1">IFERROR(__xludf.DUMMYFUNCTION("GOOGLETRANSLATE(C1068,""en"",""hr"")"),"Stezaljka za crijevo")</f>
        <v>Stezaljka za crijevo</v>
      </c>
      <c r="D2245" s="28" t="s">
        <v>11</v>
      </c>
      <c r="E2245" s="29">
        <v>1</v>
      </c>
      <c r="F2245" s="17"/>
    </row>
    <row r="2246" spans="1:9" ht="25.5" customHeight="1" x14ac:dyDescent="0.2">
      <c r="A2246" s="27">
        <v>2244</v>
      </c>
      <c r="B2246" s="29" t="s">
        <v>1853</v>
      </c>
      <c r="C2246" s="29" t="str">
        <f ca="1">IFERROR(__xludf.DUMMYFUNCTION("GOOGLETRANSLATE(C6512,""en"",""hr"")"),"Stezaljka za cijevi")</f>
        <v>Stezaljka za cijevi</v>
      </c>
      <c r="D2246" s="28" t="s">
        <v>11</v>
      </c>
      <c r="E2246" s="29">
        <v>1</v>
      </c>
      <c r="F2246" s="17"/>
      <c r="I2246" s="4" t="b">
        <f>INT(F2244*100)=(F2244*100)</f>
        <v>1</v>
      </c>
    </row>
    <row r="2247" spans="1:9" ht="25.5" customHeight="1" x14ac:dyDescent="0.2">
      <c r="A2247" s="27">
        <v>2245</v>
      </c>
      <c r="B2247" s="29" t="s">
        <v>573</v>
      </c>
      <c r="C2247" s="29" t="str">
        <f ca="1">IFERROR(__xludf.DUMMYFUNCTION("GOOGLETRANSLATE(C1598,""en"",""hr"")"),"Stezaljka za cijevi")</f>
        <v>Stezaljka za cijevi</v>
      </c>
      <c r="D2247" s="28" t="s">
        <v>11</v>
      </c>
      <c r="E2247" s="29">
        <v>1</v>
      </c>
      <c r="F2247" s="17"/>
    </row>
    <row r="2248" spans="1:9" ht="25.5" customHeight="1" x14ac:dyDescent="0.2">
      <c r="A2248" s="27">
        <v>2246</v>
      </c>
      <c r="B2248" s="29" t="s">
        <v>572</v>
      </c>
      <c r="C2248" s="29" t="str">
        <f ca="1">IFERROR(__xludf.DUMMYFUNCTION("GOOGLETRANSLATE(C1597,""en"",""hr"")"),"Stezaljka za cijevi")</f>
        <v>Stezaljka za cijevi</v>
      </c>
      <c r="D2248" s="28" t="s">
        <v>11</v>
      </c>
      <c r="E2248" s="29">
        <v>1</v>
      </c>
      <c r="F2248" s="17"/>
    </row>
    <row r="2249" spans="1:9" ht="25.5" customHeight="1" x14ac:dyDescent="0.2">
      <c r="A2249" s="27">
        <v>2247</v>
      </c>
      <c r="B2249" s="29" t="s">
        <v>574</v>
      </c>
      <c r="C2249" s="29" t="str">
        <f ca="1">IFERROR(__xludf.DUMMYFUNCTION("GOOGLETRANSLATE(C1599,""en"",""hr"")"),"Stezaljka za cijevi")</f>
        <v>Stezaljka za cijevi</v>
      </c>
      <c r="D2249" s="28" t="s">
        <v>11</v>
      </c>
      <c r="E2249" s="29">
        <v>1</v>
      </c>
      <c r="F2249" s="17"/>
      <c r="I2249" s="4" t="b">
        <f>INT(F2247*100)=(F2247*100)</f>
        <v>1</v>
      </c>
    </row>
    <row r="2250" spans="1:9" ht="25.5" customHeight="1" x14ac:dyDescent="0.2">
      <c r="A2250" s="27">
        <v>2248</v>
      </c>
      <c r="B2250" s="29" t="s">
        <v>575</v>
      </c>
      <c r="C2250" s="29" t="str">
        <f ca="1">IFERROR(__xludf.DUMMYFUNCTION("GOOGLETRANSLATE(C1600,""en"",""hr"")"),"Stezaljka za cijevi")</f>
        <v>Stezaljka za cijevi</v>
      </c>
      <c r="D2250" s="28" t="s">
        <v>11</v>
      </c>
      <c r="E2250" s="29">
        <v>1</v>
      </c>
      <c r="F2250" s="17"/>
    </row>
    <row r="2251" spans="1:9" ht="25.5" customHeight="1" x14ac:dyDescent="0.2">
      <c r="A2251" s="27">
        <v>2249</v>
      </c>
      <c r="B2251" s="29" t="s">
        <v>492</v>
      </c>
      <c r="C2251" s="29" t="str">
        <f ca="1">IFERROR(__xludf.DUMMYFUNCTION("GOOGLETRANSLATE(C1195,""en"",""hr"")"),"Stezaljka za cijevi")</f>
        <v>Stezaljka za cijevi</v>
      </c>
      <c r="D2251" s="28" t="s">
        <v>11</v>
      </c>
      <c r="E2251" s="29">
        <v>1</v>
      </c>
      <c r="F2251" s="17"/>
    </row>
    <row r="2252" spans="1:9" ht="25.5" customHeight="1" x14ac:dyDescent="0.2">
      <c r="A2252" s="27">
        <v>2250</v>
      </c>
      <c r="B2252" s="29" t="s">
        <v>1701</v>
      </c>
      <c r="C2252" s="29" t="str">
        <f ca="1">IFERROR(__xludf.DUMMYFUNCTION("GOOGLETRANSLATE(C5904,""en"",""hr"")"),"Isječak")</f>
        <v>Isječak</v>
      </c>
      <c r="D2252" s="28" t="s">
        <v>11</v>
      </c>
      <c r="E2252" s="29">
        <v>1</v>
      </c>
      <c r="F2252" s="17"/>
    </row>
    <row r="2253" spans="1:9" ht="25.5" customHeight="1" x14ac:dyDescent="0.2">
      <c r="A2253" s="27">
        <v>2251</v>
      </c>
      <c r="B2253" s="29" t="s">
        <v>583</v>
      </c>
      <c r="C2253" s="29" t="str">
        <f ca="1">IFERROR(__xludf.DUMMYFUNCTION("GOOGLETRANSLATE(C1620,""en"",""hr"")"),"Stezaljka za crijevo")</f>
        <v>Stezaljka za crijevo</v>
      </c>
      <c r="D2253" s="28" t="s">
        <v>11</v>
      </c>
      <c r="E2253" s="29">
        <v>1</v>
      </c>
      <c r="F2253" s="17"/>
      <c r="I2253" s="4" t="b">
        <f>INT(F2251*100)=(F2251*100)</f>
        <v>1</v>
      </c>
    </row>
    <row r="2254" spans="1:9" ht="25.5" customHeight="1" x14ac:dyDescent="0.2">
      <c r="A2254" s="27">
        <v>2252</v>
      </c>
      <c r="B2254" s="29" t="s">
        <v>441</v>
      </c>
      <c r="C2254" s="29" t="str">
        <f ca="1">IFERROR(__xludf.DUMMYFUNCTION("GOOGLETRANSLATE(C1063,""en"",""hr"")"),"Stezaljka za crijevo")</f>
        <v>Stezaljka za crijevo</v>
      </c>
      <c r="D2254" s="28" t="s">
        <v>11</v>
      </c>
      <c r="E2254" s="29">
        <v>1</v>
      </c>
      <c r="F2254" s="17"/>
    </row>
    <row r="2255" spans="1:9" ht="25.5" customHeight="1" x14ac:dyDescent="0.2">
      <c r="A2255" s="27">
        <v>2253</v>
      </c>
      <c r="B2255" s="29" t="s">
        <v>442</v>
      </c>
      <c r="C2255" s="29" t="str">
        <f ca="1">IFERROR(__xludf.DUMMYFUNCTION("GOOGLETRANSLATE(C1064,""en"",""hr"")"),"Stezaljka za crijevo")</f>
        <v>Stezaljka za crijevo</v>
      </c>
      <c r="D2255" s="28" t="s">
        <v>11</v>
      </c>
      <c r="E2255" s="29">
        <v>1</v>
      </c>
      <c r="F2255" s="17"/>
    </row>
    <row r="2256" spans="1:9" ht="25.5" customHeight="1" x14ac:dyDescent="0.2">
      <c r="A2256" s="27">
        <v>2254</v>
      </c>
      <c r="B2256" s="29" t="s">
        <v>1135</v>
      </c>
      <c r="C2256" s="29" t="str">
        <f ca="1">IFERROR(__xludf.DUMMYFUNCTION("GOOGLETRANSLATE(C3693,""en"",""hr"")"),"Stezaljka za crijevo")</f>
        <v>Stezaljka za crijevo</v>
      </c>
      <c r="D2256" s="28" t="s">
        <v>11</v>
      </c>
      <c r="E2256" s="29">
        <v>1</v>
      </c>
      <c r="F2256" s="17"/>
    </row>
    <row r="2257" spans="1:9" ht="25.5" customHeight="1" x14ac:dyDescent="0.2">
      <c r="A2257" s="27">
        <v>2255</v>
      </c>
      <c r="B2257" s="29" t="s">
        <v>443</v>
      </c>
      <c r="C2257" s="29" t="str">
        <f ca="1">IFERROR(__xludf.DUMMYFUNCTION("GOOGLETRANSLATE(C1065,""en"",""hr"")"),"Proljetni klip")</f>
        <v>Proljetni klip</v>
      </c>
      <c r="D2257" s="28" t="s">
        <v>11</v>
      </c>
      <c r="E2257" s="29">
        <v>1</v>
      </c>
      <c r="F2257" s="17"/>
    </row>
    <row r="2258" spans="1:9" ht="25.5" customHeight="1" x14ac:dyDescent="0.2">
      <c r="A2258" s="27">
        <v>2256</v>
      </c>
      <c r="B2258" s="29" t="s">
        <v>500</v>
      </c>
      <c r="C2258" s="29" t="str">
        <f ca="1">IFERROR(__xludf.DUMMYFUNCTION("GOOGLETRANSLATE(C1241,""en"",""hr"")"),"Stezaljka za crijevo")</f>
        <v>Stezaljka za crijevo</v>
      </c>
      <c r="D2258" s="28" t="s">
        <v>11</v>
      </c>
      <c r="E2258" s="29">
        <v>1</v>
      </c>
      <c r="F2258" s="17"/>
    </row>
    <row r="2259" spans="1:9" ht="25.5" customHeight="1" x14ac:dyDescent="0.2">
      <c r="A2259" s="27">
        <v>2257</v>
      </c>
      <c r="B2259" s="29" t="s">
        <v>584</v>
      </c>
      <c r="C2259" s="29" t="str">
        <f ca="1">IFERROR(__xludf.DUMMYFUNCTION("GOOGLETRANSLATE(C1621,""en"",""hr"")"),"Stezaljka za crijevo")</f>
        <v>Stezaljka za crijevo</v>
      </c>
      <c r="D2259" s="28" t="s">
        <v>11</v>
      </c>
      <c r="E2259" s="29">
        <v>1</v>
      </c>
      <c r="F2259" s="17"/>
    </row>
    <row r="2260" spans="1:9" ht="25.5" customHeight="1" x14ac:dyDescent="0.2">
      <c r="A2260" s="27">
        <v>2258</v>
      </c>
      <c r="B2260" s="29" t="s">
        <v>578</v>
      </c>
      <c r="C2260" s="29" t="str">
        <f ca="1">IFERROR(__xludf.DUMMYFUNCTION("GOOGLETRANSLATE(C1607,""en"",""hr"")"),"Stezaljka za crijevo")</f>
        <v>Stezaljka za crijevo</v>
      </c>
      <c r="D2260" s="28" t="s">
        <v>11</v>
      </c>
      <c r="E2260" s="29">
        <v>1</v>
      </c>
      <c r="F2260" s="17"/>
    </row>
    <row r="2261" spans="1:9" ht="25.5" customHeight="1" x14ac:dyDescent="0.2">
      <c r="A2261" s="27">
        <v>2259</v>
      </c>
      <c r="B2261" s="29" t="s">
        <v>499</v>
      </c>
      <c r="C2261" s="29" t="str">
        <f ca="1">IFERROR(__xludf.DUMMYFUNCTION("GOOGLETRANSLATE(C1240,""en"",""hr"")"),"Stezaljka za crijevo")</f>
        <v>Stezaljka za crijevo</v>
      </c>
      <c r="D2261" s="28" t="s">
        <v>11</v>
      </c>
      <c r="E2261" s="29">
        <v>1</v>
      </c>
      <c r="F2261" s="17"/>
    </row>
    <row r="2262" spans="1:9" ht="25.5" customHeight="1" x14ac:dyDescent="0.2">
      <c r="A2262" s="27">
        <v>2260</v>
      </c>
      <c r="B2262" s="29" t="s">
        <v>579</v>
      </c>
      <c r="C2262" s="29" t="str">
        <f ca="1">IFERROR(__xludf.DUMMYFUNCTION("GOOGLETRANSLATE(C1608,""en"",""hr"")"),"Stezaljka za crijevo")</f>
        <v>Stezaljka za crijevo</v>
      </c>
      <c r="D2262" s="28" t="s">
        <v>11</v>
      </c>
      <c r="E2262" s="29">
        <v>1</v>
      </c>
      <c r="F2262" s="17"/>
    </row>
    <row r="2263" spans="1:9" ht="25.5" customHeight="1" x14ac:dyDescent="0.2">
      <c r="A2263" s="27">
        <v>2261</v>
      </c>
      <c r="B2263" s="29" t="s">
        <v>580</v>
      </c>
      <c r="C2263" s="29" t="str">
        <f ca="1">IFERROR(__xludf.DUMMYFUNCTION("GOOGLETRANSLATE(C1610,""en"",""hr"")"),"Stezaljka za crijevo")</f>
        <v>Stezaljka za crijevo</v>
      </c>
      <c r="D2263" s="28" t="s">
        <v>11</v>
      </c>
      <c r="E2263" s="29">
        <v>1</v>
      </c>
      <c r="F2263" s="17"/>
    </row>
    <row r="2264" spans="1:9" ht="25.5" customHeight="1" x14ac:dyDescent="0.2">
      <c r="A2264" s="27">
        <v>2262</v>
      </c>
      <c r="B2264" s="29" t="s">
        <v>581</v>
      </c>
      <c r="C2264" s="29" t="str">
        <f ca="1">IFERROR(__xludf.DUMMYFUNCTION("GOOGLETRANSLATE(C1613,""en"",""hr"")"),"Stezaljka za crijevo")</f>
        <v>Stezaljka za crijevo</v>
      </c>
      <c r="D2264" s="28" t="s">
        <v>11</v>
      </c>
      <c r="E2264" s="29">
        <v>1</v>
      </c>
      <c r="F2264" s="17"/>
    </row>
    <row r="2265" spans="1:9" ht="25.5" customHeight="1" x14ac:dyDescent="0.2">
      <c r="A2265" s="27">
        <v>2263</v>
      </c>
      <c r="B2265" s="29" t="s">
        <v>502</v>
      </c>
      <c r="C2265" s="29" t="str">
        <f ca="1">IFERROR(__xludf.DUMMYFUNCTION("GOOGLETRANSLATE(C1243,""en"",""hr"")"),"Stezaljka za crijevo")</f>
        <v>Stezaljka za crijevo</v>
      </c>
      <c r="D2265" s="28" t="s">
        <v>11</v>
      </c>
      <c r="E2265" s="29">
        <v>1</v>
      </c>
      <c r="F2265" s="17"/>
    </row>
    <row r="2266" spans="1:9" ht="25.5" customHeight="1" x14ac:dyDescent="0.2">
      <c r="A2266" s="27">
        <v>2264</v>
      </c>
      <c r="B2266" s="29" t="s">
        <v>501</v>
      </c>
      <c r="C2266" s="29" t="str">
        <f ca="1">IFERROR(__xludf.DUMMYFUNCTION("GOOGLETRANSLATE(C1242,""en"",""hr"")"),"Proljetni klip")</f>
        <v>Proljetni klip</v>
      </c>
      <c r="D2266" s="28" t="s">
        <v>11</v>
      </c>
      <c r="E2266" s="29">
        <v>1</v>
      </c>
      <c r="F2266" s="17"/>
    </row>
    <row r="2267" spans="1:9" ht="25.5" customHeight="1" x14ac:dyDescent="0.2">
      <c r="A2267" s="27">
        <v>2265</v>
      </c>
      <c r="B2267" s="29" t="s">
        <v>507</v>
      </c>
      <c r="C2267" s="29" t="str">
        <f ca="1">IFERROR(__xludf.DUMMYFUNCTION("GOOGLETRANSLATE(C1270,""en"",""hr"")"),"Stezaljka za crijevo")</f>
        <v>Stezaljka za crijevo</v>
      </c>
      <c r="D2267" s="28" t="s">
        <v>11</v>
      </c>
      <c r="E2267" s="29">
        <v>1</v>
      </c>
      <c r="F2267" s="17"/>
    </row>
    <row r="2268" spans="1:9" ht="25.5" customHeight="1" x14ac:dyDescent="0.2">
      <c r="A2268" s="27">
        <v>2266</v>
      </c>
      <c r="B2268" s="29" t="s">
        <v>203</v>
      </c>
      <c r="C2268" s="29" t="str">
        <f ca="1">IFERROR(__xludf.DUMMYFUNCTION("GOOGLETRANSLATE(C437,""en"",""hr"")"),"Spojnica za kabel")</f>
        <v>Spojnica za kabel</v>
      </c>
      <c r="D2268" s="28" t="s">
        <v>11</v>
      </c>
      <c r="E2268" s="29">
        <v>1</v>
      </c>
      <c r="F2268" s="17"/>
    </row>
    <row r="2269" spans="1:9" ht="25.5" customHeight="1" x14ac:dyDescent="0.2">
      <c r="A2269" s="27">
        <v>2267</v>
      </c>
      <c r="B2269" s="29" t="s">
        <v>857</v>
      </c>
      <c r="C2269" s="29" t="str">
        <f ca="1">IFERROR(__xludf.DUMMYFUNCTION("GOOGLETRANSLATE(C2529,""en"",""hr"")"),"Spojnica za kabel")</f>
        <v>Spojnica za kabel</v>
      </c>
      <c r="D2269" s="28" t="s">
        <v>11</v>
      </c>
      <c r="E2269" s="29">
        <v>1</v>
      </c>
      <c r="F2269" s="17"/>
    </row>
    <row r="2270" spans="1:9" ht="25.5" customHeight="1" x14ac:dyDescent="0.2">
      <c r="A2270" s="27">
        <v>2268</v>
      </c>
      <c r="B2270" s="29" t="s">
        <v>200</v>
      </c>
      <c r="C2270" s="29" t="str">
        <f ca="1">IFERROR(__xludf.DUMMYFUNCTION("GOOGLETRANSLATE(C434,""en"",""hr"")"),"Spojnica za kabel")</f>
        <v>Spojnica za kabel</v>
      </c>
      <c r="D2270" s="28" t="s">
        <v>11</v>
      </c>
      <c r="E2270" s="29">
        <v>1</v>
      </c>
      <c r="F2270" s="17"/>
    </row>
    <row r="2271" spans="1:9" ht="25.5" customHeight="1" x14ac:dyDescent="0.2">
      <c r="A2271" s="27">
        <v>2269</v>
      </c>
      <c r="B2271" s="29" t="s">
        <v>494</v>
      </c>
      <c r="C2271" s="29" t="str">
        <f ca="1">IFERROR(__xludf.DUMMYFUNCTION("GOOGLETRANSLATE(C1207,""en"",""hr"")"),"Utikači za kabelske vezice")</f>
        <v>Utikači za kabelske vezice</v>
      </c>
      <c r="D2271" s="28" t="s">
        <v>11</v>
      </c>
      <c r="E2271" s="29">
        <v>1</v>
      </c>
      <c r="F2271" s="17"/>
      <c r="I2271" s="4" t="b">
        <f>INT(F2269*100)=(F2269*100)</f>
        <v>1</v>
      </c>
    </row>
    <row r="2272" spans="1:9" ht="25.5" customHeight="1" x14ac:dyDescent="0.2">
      <c r="A2272" s="27">
        <v>2270</v>
      </c>
      <c r="B2272" s="29" t="s">
        <v>1825</v>
      </c>
      <c r="C2272" s="29" t="str">
        <f ca="1">IFERROR(__xludf.DUMMYFUNCTION("GOOGLETRANSLATE(C6371,""en"",""hr"")"),"Isječak")</f>
        <v>Isječak</v>
      </c>
      <c r="D2272" s="28" t="s">
        <v>11</v>
      </c>
      <c r="E2272" s="29">
        <v>1</v>
      </c>
      <c r="F2272" s="17"/>
    </row>
    <row r="2273" spans="1:9" ht="25.5" customHeight="1" x14ac:dyDescent="0.2">
      <c r="A2273" s="27">
        <v>2271</v>
      </c>
      <c r="B2273" s="29" t="s">
        <v>550</v>
      </c>
      <c r="C2273" s="29" t="str">
        <f ca="1">IFERROR(__xludf.DUMMYFUNCTION("GOOGLETRANSLATE(C1483,""en"",""hr"")"),"Spojnica za kabel")</f>
        <v>Spojnica za kabel</v>
      </c>
      <c r="D2273" s="28" t="s">
        <v>11</v>
      </c>
      <c r="E2273" s="29">
        <v>1</v>
      </c>
      <c r="F2273" s="17"/>
    </row>
    <row r="2274" spans="1:9" ht="25.5" customHeight="1" x14ac:dyDescent="0.2">
      <c r="A2274" s="27">
        <v>2272</v>
      </c>
      <c r="B2274" s="29" t="s">
        <v>1129</v>
      </c>
      <c r="C2274" s="29" t="str">
        <f ca="1">IFERROR(__xludf.DUMMYFUNCTION("GOOGLETRANSLATE(C3673,""en"",""hr"")"),"Kuglasti ventil")</f>
        <v>Kuglasti ventil</v>
      </c>
      <c r="D2274" s="28" t="s">
        <v>11</v>
      </c>
      <c r="E2274" s="29">
        <v>1</v>
      </c>
      <c r="F2274" s="17"/>
      <c r="I2274" s="4" t="b">
        <f>INT(F2272*100)=(F2272*100)</f>
        <v>1</v>
      </c>
    </row>
    <row r="2275" spans="1:9" ht="25.5" customHeight="1" x14ac:dyDescent="0.2">
      <c r="A2275" s="27">
        <v>2273</v>
      </c>
      <c r="B2275" s="29" t="s">
        <v>1125</v>
      </c>
      <c r="C2275" s="29" t="str">
        <f ca="1">IFERROR(__xludf.DUMMYFUNCTION("GOOGLETRANSLATE(C3662,""en"",""hr"")"),"Kutni sigurnosni ventil")</f>
        <v>Kutni sigurnosni ventil</v>
      </c>
      <c r="D2275" s="28" t="s">
        <v>11</v>
      </c>
      <c r="E2275" s="29">
        <v>1</v>
      </c>
      <c r="F2275" s="17"/>
    </row>
    <row r="2276" spans="1:9" ht="25.5" customHeight="1" x14ac:dyDescent="0.2">
      <c r="A2276" s="27">
        <v>2274</v>
      </c>
      <c r="B2276" s="29" t="s">
        <v>1060</v>
      </c>
      <c r="C2276" s="29" t="str">
        <f ca="1">IFERROR(__xludf.DUMMYFUNCTION("GOOGLETRANSLATE(C3455,""en"",""hr"")"),"Ventil")</f>
        <v>Ventil</v>
      </c>
      <c r="D2276" s="28" t="s">
        <v>11</v>
      </c>
      <c r="E2276" s="29">
        <v>1</v>
      </c>
      <c r="F2276" s="17"/>
    </row>
    <row r="2277" spans="1:9" ht="25.5" customHeight="1" x14ac:dyDescent="0.2">
      <c r="A2277" s="27">
        <v>2275</v>
      </c>
      <c r="B2277" s="29" t="s">
        <v>569</v>
      </c>
      <c r="C2277" s="29" t="str">
        <f ca="1">IFERROR(__xludf.DUMMYFUNCTION("GOOGLETRANSLATE(C1585,""en"",""hr"")"),"Kuglasti ventil")</f>
        <v>Kuglasti ventil</v>
      </c>
      <c r="D2277" s="28" t="s">
        <v>11</v>
      </c>
      <c r="E2277" s="29">
        <v>1</v>
      </c>
      <c r="F2277" s="17"/>
    </row>
    <row r="2278" spans="1:9" ht="25.5" customHeight="1" x14ac:dyDescent="0.2">
      <c r="A2278" s="27">
        <v>2276</v>
      </c>
      <c r="B2278" s="29" t="s">
        <v>1266</v>
      </c>
      <c r="C2278" s="29" t="str">
        <f ca="1">IFERROR(__xludf.DUMMYFUNCTION("GOOGLETRANSLATE(C3998,""en"",""hr"")"),"Pumpa za vodu kpl.")</f>
        <v>Pumpa za vodu kpl.</v>
      </c>
      <c r="D2278" s="28" t="s">
        <v>11</v>
      </c>
      <c r="E2278" s="29">
        <v>1</v>
      </c>
      <c r="F2278" s="17"/>
      <c r="I2278" s="4" t="b">
        <f>INT(F2276*100)=(F2276*100)</f>
        <v>1</v>
      </c>
    </row>
    <row r="2279" spans="1:9" ht="25.5" customHeight="1" x14ac:dyDescent="0.2">
      <c r="A2279" s="27">
        <v>2277</v>
      </c>
      <c r="B2279" s="29" t="s">
        <v>1247</v>
      </c>
      <c r="C2279" s="29" t="str">
        <f ca="1">IFERROR(__xludf.DUMMYFUNCTION("GOOGLETRANSLATE(C3953,""en"",""hr"")"),"Filter za vodu kpl.")</f>
        <v>Filter za vodu kpl.</v>
      </c>
      <c r="D2279" s="28" t="s">
        <v>11</v>
      </c>
      <c r="E2279" s="29">
        <v>1</v>
      </c>
      <c r="F2279" s="17"/>
    </row>
    <row r="2280" spans="1:9" ht="25.5" customHeight="1" x14ac:dyDescent="0.2">
      <c r="A2280" s="27">
        <v>2278</v>
      </c>
      <c r="B2280" s="29" t="s">
        <v>35</v>
      </c>
      <c r="C2280" s="29" t="str">
        <f ca="1">IFERROR(__xludf.DUMMYFUNCTION("GOOGLETRANSLATE(C51,""en"",""hr"")"),"Filter za vodu kpl.")</f>
        <v>Filter za vodu kpl.</v>
      </c>
      <c r="D2280" s="28" t="s">
        <v>11</v>
      </c>
      <c r="E2280" s="29">
        <v>1</v>
      </c>
      <c r="F2280" s="17"/>
    </row>
    <row r="2281" spans="1:9" ht="25.5" customHeight="1" x14ac:dyDescent="0.2">
      <c r="A2281" s="27">
        <v>2279</v>
      </c>
      <c r="B2281" s="29" t="s">
        <v>25</v>
      </c>
      <c r="C2281" s="29" t="str">
        <f ca="1">IFERROR(__xludf.DUMMYFUNCTION("GOOGLETRANSLATE(C25,""en"",""hr"")"),"Ventilacijski filter")</f>
        <v>Ventilacijski filter</v>
      </c>
      <c r="D2281" s="28" t="s">
        <v>11</v>
      </c>
      <c r="E2281" s="29">
        <v>1</v>
      </c>
      <c r="F2281" s="17"/>
    </row>
    <row r="2282" spans="1:9" ht="25.5" customHeight="1" x14ac:dyDescent="0.2">
      <c r="A2282" s="27">
        <v>2280</v>
      </c>
      <c r="B2282" s="29" t="s">
        <v>1682</v>
      </c>
      <c r="C2282" s="29" t="str">
        <f ca="1">IFERROR(__xludf.DUMMYFUNCTION("GOOGLETRANSLATE(C5811,""en"",""hr"")"),"Usisni filter")</f>
        <v>Usisni filter</v>
      </c>
      <c r="D2282" s="28" t="s">
        <v>11</v>
      </c>
      <c r="E2282" s="29">
        <v>1</v>
      </c>
      <c r="F2282" s="17"/>
    </row>
    <row r="2283" spans="1:9" ht="25.5" customHeight="1" x14ac:dyDescent="0.2">
      <c r="A2283" s="27">
        <v>2281</v>
      </c>
      <c r="B2283" s="29" t="s">
        <v>1762</v>
      </c>
      <c r="C2283" s="29" t="str">
        <f ca="1">IFERROR(__xludf.DUMMYFUNCTION("GOOGLETRANSLATE(C6128,""en"",""hr"")"),"Mrežasti umetak")</f>
        <v>Mrežasti umetak</v>
      </c>
      <c r="D2283" s="28" t="s">
        <v>11</v>
      </c>
      <c r="E2283" s="29">
        <v>1</v>
      </c>
      <c r="F2283" s="17"/>
    </row>
    <row r="2284" spans="1:9" ht="25.5" customHeight="1" x14ac:dyDescent="0.2">
      <c r="A2284" s="27">
        <v>2282</v>
      </c>
      <c r="B2284" s="29" t="s">
        <v>1141</v>
      </c>
      <c r="C2284" s="29" t="str">
        <f ca="1">IFERROR(__xludf.DUMMYFUNCTION("GOOGLETRANSLATE(C3704,""en"",""hr"")"),"Spojka")</f>
        <v>Spojka</v>
      </c>
      <c r="D2284" s="28" t="s">
        <v>11</v>
      </c>
      <c r="E2284" s="29">
        <v>1</v>
      </c>
      <c r="F2284" s="17"/>
    </row>
    <row r="2285" spans="1:9" ht="25.5" customHeight="1" x14ac:dyDescent="0.2">
      <c r="A2285" s="27">
        <v>2283</v>
      </c>
      <c r="B2285" s="29" t="s">
        <v>1239</v>
      </c>
      <c r="C2285" s="29" t="str">
        <f ca="1">IFERROR(__xludf.DUMMYFUNCTION("GOOGLETRANSLATE(C3931,""en"",""hr"")"),"mlaznica za vodu")</f>
        <v>mlaznica za vodu</v>
      </c>
      <c r="D2285" s="28" t="s">
        <v>11</v>
      </c>
      <c r="E2285" s="29">
        <v>1</v>
      </c>
      <c r="F2285" s="17"/>
    </row>
    <row r="2286" spans="1:9" ht="25.5" customHeight="1" x14ac:dyDescent="0.2">
      <c r="A2286" s="27">
        <v>2284</v>
      </c>
      <c r="B2286" s="29" t="s">
        <v>1302</v>
      </c>
      <c r="C2286" s="29" t="str">
        <f ca="1">IFERROR(__xludf.DUMMYFUNCTION("GOOGLETRANSLATE(C4069,""en"",""hr"")"),"Jet mlaznica")</f>
        <v>Jet mlaznica</v>
      </c>
      <c r="D2286" s="28" t="s">
        <v>11</v>
      </c>
      <c r="E2286" s="29">
        <v>1</v>
      </c>
      <c r="F2286" s="17"/>
    </row>
    <row r="2287" spans="1:9" ht="25.5" customHeight="1" x14ac:dyDescent="0.2">
      <c r="A2287" s="27">
        <v>2285</v>
      </c>
      <c r="B2287" s="29" t="s">
        <v>648</v>
      </c>
      <c r="C2287" s="29" t="str">
        <f ca="1">IFERROR(__xludf.DUMMYFUNCTION("GOOGLETRANSLATE(C2007,""en"",""hr"")"),"Čahura")</f>
        <v>Čahura</v>
      </c>
      <c r="D2287" s="28" t="s">
        <v>11</v>
      </c>
      <c r="E2287" s="29">
        <v>1</v>
      </c>
      <c r="F2287" s="17"/>
    </row>
    <row r="2288" spans="1:9" ht="25.5" customHeight="1" x14ac:dyDescent="0.2">
      <c r="A2288" s="27">
        <v>2286</v>
      </c>
      <c r="B2288" s="29" t="s">
        <v>649</v>
      </c>
      <c r="C2288" s="29" t="str">
        <f ca="1">IFERROR(__xludf.DUMMYFUNCTION("GOOGLETRANSLATE(C2017,""en"",""hr"")"),"Čahura")</f>
        <v>Čahura</v>
      </c>
      <c r="D2288" s="28" t="s">
        <v>11</v>
      </c>
      <c r="E2288" s="29">
        <v>1</v>
      </c>
      <c r="F2288" s="17"/>
    </row>
    <row r="2289" spans="1:9" ht="25.5" customHeight="1" x14ac:dyDescent="0.2">
      <c r="A2289" s="27">
        <v>2287</v>
      </c>
      <c r="B2289" s="29" t="s">
        <v>691</v>
      </c>
      <c r="C2289" s="29" t="str">
        <f ca="1">IFERROR(__xludf.DUMMYFUNCTION("GOOGLETRANSLATE(C2184,""en"",""hr"")"),"Mlaznica")</f>
        <v>Mlaznica</v>
      </c>
      <c r="D2289" s="28" t="s">
        <v>11</v>
      </c>
      <c r="E2289" s="29">
        <v>1</v>
      </c>
      <c r="F2289" s="17"/>
    </row>
    <row r="2290" spans="1:9" ht="25.5" customHeight="1" x14ac:dyDescent="0.2">
      <c r="A2290" s="27">
        <v>2288</v>
      </c>
      <c r="B2290" s="29" t="s">
        <v>745</v>
      </c>
      <c r="C2290" s="29" t="str">
        <f ca="1">IFERROR(__xludf.DUMMYFUNCTION("GOOGLETRANSLATE(C2348,""en"",""hr"")"),"Mlaznica")</f>
        <v>Mlaznica</v>
      </c>
      <c r="D2290" s="28" t="s">
        <v>11</v>
      </c>
      <c r="E2290" s="29">
        <v>1</v>
      </c>
      <c r="F2290" s="17"/>
    </row>
    <row r="2291" spans="1:9" ht="25.5" customHeight="1" x14ac:dyDescent="0.2">
      <c r="A2291" s="27">
        <v>2289</v>
      </c>
      <c r="B2291" s="29" t="s">
        <v>985</v>
      </c>
      <c r="C2291" s="29" t="str">
        <f ca="1">IFERROR(__xludf.DUMMYFUNCTION("GOOGLETRANSLATE(C3143,""en"",""hr"")"),"Ravna mlaznica za raspršivanje")</f>
        <v>Ravna mlaznica za raspršivanje</v>
      </c>
      <c r="D2291" s="28" t="s">
        <v>11</v>
      </c>
      <c r="E2291" s="29">
        <v>1</v>
      </c>
      <c r="F2291" s="17"/>
    </row>
    <row r="2292" spans="1:9" ht="25.5" customHeight="1" x14ac:dyDescent="0.2">
      <c r="A2292" s="27">
        <v>2290</v>
      </c>
      <c r="B2292" s="29" t="s">
        <v>972</v>
      </c>
      <c r="C2292" s="29" t="str">
        <f ca="1">IFERROR(__xludf.DUMMYFUNCTION("GOOGLETRANSLATE(C3088,""en"",""hr"")"),"Ravna mlaznica za raspršivanje")</f>
        <v>Ravna mlaznica za raspršivanje</v>
      </c>
      <c r="D2292" s="28" t="s">
        <v>11</v>
      </c>
      <c r="E2292" s="29">
        <v>1</v>
      </c>
      <c r="F2292" s="17"/>
    </row>
    <row r="2293" spans="1:9" ht="25.5" customHeight="1" x14ac:dyDescent="0.2">
      <c r="A2293" s="27">
        <v>2291</v>
      </c>
      <c r="B2293" s="29" t="s">
        <v>1321</v>
      </c>
      <c r="C2293" s="29" t="str">
        <f ca="1">IFERROR(__xludf.DUMMYFUNCTION("GOOGLETRANSLATE(C4158,""en"",""hr"")"),"Ravna mlaznica za raspršivanje")</f>
        <v>Ravna mlaznica za raspršivanje</v>
      </c>
      <c r="D2293" s="28" t="s">
        <v>11</v>
      </c>
      <c r="E2293" s="29">
        <v>1</v>
      </c>
      <c r="F2293" s="17"/>
    </row>
    <row r="2294" spans="1:9" ht="25.5" customHeight="1" x14ac:dyDescent="0.2">
      <c r="A2294" s="27">
        <v>2292</v>
      </c>
      <c r="B2294" s="29" t="s">
        <v>1308</v>
      </c>
      <c r="C2294" s="29" t="str">
        <f ca="1">IFERROR(__xludf.DUMMYFUNCTION("GOOGLETRANSLATE(C4127,""en"",""hr"")"),"Ravna mlaznica za raspršivanje")</f>
        <v>Ravna mlaznica za raspršivanje</v>
      </c>
      <c r="D2294" s="28" t="s">
        <v>11</v>
      </c>
      <c r="E2294" s="29">
        <v>1</v>
      </c>
      <c r="F2294" s="17"/>
    </row>
    <row r="2295" spans="1:9" ht="25.5" customHeight="1" x14ac:dyDescent="0.2">
      <c r="A2295" s="27">
        <v>2293</v>
      </c>
      <c r="B2295" s="29" t="s">
        <v>1300</v>
      </c>
      <c r="C2295" s="29" t="str">
        <f ca="1">IFERROR(__xludf.DUMMYFUNCTION("GOOGLETRANSLATE(C4054,""en"",""hr"")"),"Ravna mlaznica za raspršivanje")</f>
        <v>Ravna mlaznica za raspršivanje</v>
      </c>
      <c r="D2295" s="28" t="s">
        <v>11</v>
      </c>
      <c r="E2295" s="29">
        <v>1</v>
      </c>
      <c r="F2295" s="17"/>
    </row>
    <row r="2296" spans="1:9" ht="25.5" customHeight="1" x14ac:dyDescent="0.2">
      <c r="A2296" s="27">
        <v>2294</v>
      </c>
      <c r="B2296" s="29" t="s">
        <v>1005</v>
      </c>
      <c r="C2296" s="29" t="str">
        <f ca="1">IFERROR(__xludf.DUMMYFUNCTION("GOOGLETRANSLATE(C3204,""en"",""hr"")"),"ravna mlaznica za raspršivanje")</f>
        <v>ravna mlaznica za raspršivanje</v>
      </c>
      <c r="D2296" s="28" t="s">
        <v>11</v>
      </c>
      <c r="E2296" s="29">
        <v>1</v>
      </c>
      <c r="F2296" s="17"/>
    </row>
    <row r="2297" spans="1:9" ht="25.5" customHeight="1" x14ac:dyDescent="0.2">
      <c r="A2297" s="27">
        <v>2295</v>
      </c>
      <c r="B2297" s="29" t="s">
        <v>1220</v>
      </c>
      <c r="C2297" s="29" t="str">
        <f ca="1">IFERROR(__xludf.DUMMYFUNCTION("GOOGLETRANSLATE(C3858,""en"",""hr"")"),"Ravna mlaznica za raspršivanje")</f>
        <v>Ravna mlaznica za raspršivanje</v>
      </c>
      <c r="D2297" s="28" t="s">
        <v>11</v>
      </c>
      <c r="E2297" s="29">
        <v>1</v>
      </c>
      <c r="F2297" s="17"/>
      <c r="I2297" s="4" t="b">
        <f>INT(F2295*100)=(F2295*100)</f>
        <v>1</v>
      </c>
    </row>
    <row r="2298" spans="1:9" ht="25.5" customHeight="1" x14ac:dyDescent="0.2">
      <c r="A2298" s="27">
        <v>2296</v>
      </c>
      <c r="B2298" s="29" t="s">
        <v>1301</v>
      </c>
      <c r="C2298" s="29" t="str">
        <f ca="1">IFERROR(__xludf.DUMMYFUNCTION("GOOGLETRANSLATE(C4055,""en"",""hr"")"),"puna mlaznica")</f>
        <v>puna mlaznica</v>
      </c>
      <c r="D2298" s="28" t="s">
        <v>11</v>
      </c>
      <c r="E2298" s="29">
        <v>1</v>
      </c>
      <c r="F2298" s="17"/>
    </row>
    <row r="2299" spans="1:9" ht="25.5" customHeight="1" x14ac:dyDescent="0.2">
      <c r="A2299" s="27">
        <v>2297</v>
      </c>
      <c r="B2299" s="29" t="s">
        <v>1218</v>
      </c>
      <c r="C2299" s="29" t="str">
        <f ca="1">IFERROR(__xludf.DUMMYFUNCTION("GOOGLETRANSLATE(C3856,""en"",""hr"")"),"Čvrsta mlaznica")</f>
        <v>Čvrsta mlaznica</v>
      </c>
      <c r="D2299" s="28" t="s">
        <v>11</v>
      </c>
      <c r="E2299" s="29">
        <v>1</v>
      </c>
      <c r="F2299" s="17"/>
    </row>
    <row r="2300" spans="1:9" ht="25.5" customHeight="1" x14ac:dyDescent="0.2">
      <c r="A2300" s="27">
        <v>2298</v>
      </c>
      <c r="B2300" s="29" t="s">
        <v>1223</v>
      </c>
      <c r="C2300" s="29" t="str">
        <f ca="1">IFERROR(__xludf.DUMMYFUNCTION("GOOGLETRANSLATE(C3866,""en"",""hr"")"),"Jet mlaznica")</f>
        <v>Jet mlaznica</v>
      </c>
      <c r="D2300" s="28" t="s">
        <v>11</v>
      </c>
      <c r="E2300" s="29">
        <v>1</v>
      </c>
      <c r="F2300" s="17"/>
      <c r="I2300" s="4" t="b">
        <f>INT(F2298*100)=(F2298*100)</f>
        <v>1</v>
      </c>
    </row>
    <row r="2301" spans="1:9" ht="25.5" customHeight="1" x14ac:dyDescent="0.2">
      <c r="A2301" s="27">
        <v>2299</v>
      </c>
      <c r="B2301" s="29" t="s">
        <v>921</v>
      </c>
      <c r="C2301" s="29" t="str">
        <f ca="1">IFERROR(__xludf.DUMMYFUNCTION("GOOGLETRANSLATE(C2768,""en"",""hr"")"),"Hidromotor")</f>
        <v>Hidromotor</v>
      </c>
      <c r="D2301" s="28" t="s">
        <v>11</v>
      </c>
      <c r="E2301" s="29">
        <v>1</v>
      </c>
      <c r="F2301" s="17"/>
    </row>
    <row r="2302" spans="1:9" ht="25.5" customHeight="1" x14ac:dyDescent="0.2">
      <c r="A2302" s="27">
        <v>2300</v>
      </c>
      <c r="B2302" s="29" t="s">
        <v>667</v>
      </c>
      <c r="C2302" s="29" t="str">
        <f ca="1">IFERROR(__xludf.DUMMYFUNCTION("GOOGLETRANSLATE(C2097,""en"",""hr"")"),"Hidraulički motor")</f>
        <v>Hidraulički motor</v>
      </c>
      <c r="D2302" s="28" t="s">
        <v>11</v>
      </c>
      <c r="E2302" s="29">
        <v>1</v>
      </c>
      <c r="F2302" s="17"/>
    </row>
    <row r="2303" spans="1:9" ht="25.5" customHeight="1" x14ac:dyDescent="0.2">
      <c r="A2303" s="27">
        <v>2301</v>
      </c>
      <c r="B2303" s="29" t="s">
        <v>522</v>
      </c>
      <c r="C2303" s="29" t="str">
        <f ca="1">IFERROR(__xludf.DUMMYFUNCTION("GOOGLETRANSLATE(C1355,""en"",""hr"")"),"Stezaljka za cijevi")</f>
        <v>Stezaljka za cijevi</v>
      </c>
      <c r="D2303" s="28" t="s">
        <v>11</v>
      </c>
      <c r="E2303" s="29">
        <v>1</v>
      </c>
      <c r="F2303" s="17"/>
    </row>
    <row r="2304" spans="1:9" ht="25.5" customHeight="1" x14ac:dyDescent="0.2">
      <c r="A2304" s="27">
        <v>2302</v>
      </c>
      <c r="B2304" s="29" t="s">
        <v>523</v>
      </c>
      <c r="C2304" s="29" t="str">
        <f ca="1">IFERROR(__xludf.DUMMYFUNCTION("GOOGLETRANSLATE(C1358,""en"",""hr"")"),"Senzor temperature")</f>
        <v>Senzor temperature</v>
      </c>
      <c r="D2304" s="28" t="s">
        <v>11</v>
      </c>
      <c r="E2304" s="29">
        <v>1</v>
      </c>
      <c r="F2304" s="17"/>
      <c r="I2304" s="4" t="b">
        <f>INT(F2302*100)=(F2302*100)</f>
        <v>1</v>
      </c>
    </row>
    <row r="2305" spans="1:6" ht="25.5" customHeight="1" x14ac:dyDescent="0.2">
      <c r="A2305" s="27">
        <v>2303</v>
      </c>
      <c r="B2305" s="29" t="s">
        <v>524</v>
      </c>
      <c r="C2305" s="29" t="str">
        <f ca="1">IFERROR(__xludf.DUMMYFUNCTION("GOOGLETRANSLATE(C1359,""en"",""hr"")"),"Senzor temperature ispuha")</f>
        <v>Senzor temperature ispuha</v>
      </c>
      <c r="D2305" s="28" t="s">
        <v>11</v>
      </c>
      <c r="E2305" s="29">
        <v>1</v>
      </c>
      <c r="F2305" s="17"/>
    </row>
    <row r="2306" spans="1:6" ht="25.5" customHeight="1" x14ac:dyDescent="0.2">
      <c r="A2306" s="27">
        <v>2304</v>
      </c>
      <c r="B2306" s="29" t="s">
        <v>538</v>
      </c>
      <c r="C2306" s="29" t="str">
        <f ca="1">IFERROR(__xludf.DUMMYFUNCTION("GOOGLETRANSLATE(C1407,""en"",""hr"")"),"Modul za opskrbu")</f>
        <v>Modul za opskrbu</v>
      </c>
      <c r="D2306" s="28" t="s">
        <v>11</v>
      </c>
      <c r="E2306" s="29">
        <v>1</v>
      </c>
      <c r="F2306" s="17"/>
    </row>
    <row r="2307" spans="1:6" ht="25.5" customHeight="1" x14ac:dyDescent="0.2">
      <c r="A2307" s="27">
        <v>2305</v>
      </c>
      <c r="B2307" s="29" t="s">
        <v>540</v>
      </c>
      <c r="C2307" s="29" t="str">
        <f ca="1">IFERROR(__xludf.DUMMYFUNCTION("GOOGLETRANSLATE(C1414,""en"",""hr"")"),"Ventil spremnika DEF za grijanje")</f>
        <v>Ventil spremnika DEF za grijanje</v>
      </c>
      <c r="D2307" s="28" t="s">
        <v>11</v>
      </c>
      <c r="E2307" s="29">
        <v>1</v>
      </c>
      <c r="F2307" s="17"/>
    </row>
    <row r="2308" spans="1:6" ht="25.5" customHeight="1" x14ac:dyDescent="0.2">
      <c r="A2308" s="27">
        <v>2306</v>
      </c>
      <c r="B2308" s="29" t="s">
        <v>525</v>
      </c>
      <c r="C2308" s="29" t="str">
        <f ca="1">IFERROR(__xludf.DUMMYFUNCTION("GOOGLETRANSLATE(C1362,""en"",""hr"")"),"AdBlue modul za doziranje")</f>
        <v>AdBlue modul za doziranje</v>
      </c>
      <c r="D2308" s="28" t="s">
        <v>11</v>
      </c>
      <c r="E2308" s="29">
        <v>1</v>
      </c>
      <c r="F2308" s="17"/>
    </row>
    <row r="2309" spans="1:6" ht="25.5" customHeight="1" x14ac:dyDescent="0.2">
      <c r="A2309" s="27">
        <v>2307</v>
      </c>
      <c r="B2309" s="29" t="s">
        <v>535</v>
      </c>
      <c r="C2309" s="29" t="str">
        <f ca="1">IFERROR(__xludf.DUMMYFUNCTION("GOOGLETRANSLATE(C1398,""en"",""hr"")"),"Senzor razine AdBlue")</f>
        <v>Senzor razine AdBlue</v>
      </c>
      <c r="D2309" s="28" t="s">
        <v>11</v>
      </c>
      <c r="E2309" s="29">
        <v>1</v>
      </c>
      <c r="F2309" s="17"/>
    </row>
    <row r="2310" spans="1:6" ht="25.5" customHeight="1" x14ac:dyDescent="0.2">
      <c r="A2310" s="27">
        <v>2308</v>
      </c>
      <c r="B2310" s="29" t="s">
        <v>103</v>
      </c>
      <c r="C2310" s="29" t="str">
        <f ca="1">IFERROR(__xludf.DUMMYFUNCTION("GOOGLETRANSLATE(C221,""en"",""hr"")"),"Kolut")</f>
        <v>Kolut</v>
      </c>
      <c r="D2310" s="28" t="s">
        <v>11</v>
      </c>
      <c r="E2310" s="29">
        <v>1</v>
      </c>
      <c r="F2310" s="17"/>
    </row>
    <row r="2311" spans="1:6" ht="25.5" customHeight="1" x14ac:dyDescent="0.2">
      <c r="A2311" s="27">
        <v>2309</v>
      </c>
      <c r="B2311" s="29" t="s">
        <v>102</v>
      </c>
      <c r="C2311" s="29" t="str">
        <f ca="1">IFERROR(__xludf.DUMMYFUNCTION("GOOGLETRANSLATE(C220,""en"",""hr"")"),"Linearni pojas za rastezanje")</f>
        <v>Linearni pojas za rastezanje</v>
      </c>
      <c r="D2311" s="28" t="s">
        <v>11</v>
      </c>
      <c r="E2311" s="29">
        <v>1</v>
      </c>
      <c r="F2311" s="17"/>
    </row>
    <row r="2312" spans="1:6" ht="25.5" customHeight="1" x14ac:dyDescent="0.2">
      <c r="A2312" s="27">
        <v>2310</v>
      </c>
      <c r="B2312" s="29" t="s">
        <v>105</v>
      </c>
      <c r="C2312" s="29" t="str">
        <f ca="1">IFERROR(__xludf.DUMMYFUNCTION("GOOGLETRANSLATE(C223,""en"",""hr"")"),"Remen (5 utora)")</f>
        <v>Remen (5 utora)</v>
      </c>
      <c r="D2312" s="28" t="s">
        <v>11</v>
      </c>
      <c r="E2312" s="29">
        <v>1</v>
      </c>
      <c r="F2312" s="17"/>
    </row>
    <row r="2313" spans="1:6" ht="25.5" customHeight="1" x14ac:dyDescent="0.2">
      <c r="A2313" s="27">
        <v>2311</v>
      </c>
      <c r="B2313" s="29" t="s">
        <v>107</v>
      </c>
      <c r="C2313" s="29" t="str">
        <f ca="1">IFERROR(__xludf.DUMMYFUNCTION("GOOGLETRANSLATE(C225,""en"",""hr"")"),"Sklop generatora 14V 140A")</f>
        <v>Sklop generatora 14V 140A</v>
      </c>
      <c r="D2313" s="28" t="s">
        <v>11</v>
      </c>
      <c r="E2313" s="29">
        <v>1</v>
      </c>
      <c r="F2313" s="17"/>
    </row>
    <row r="2314" spans="1:6" ht="25.5" customHeight="1" x14ac:dyDescent="0.2">
      <c r="A2314" s="27">
        <v>2312</v>
      </c>
      <c r="B2314" s="29" t="s">
        <v>99</v>
      </c>
      <c r="C2314" s="29" t="str">
        <f ca="1">IFERROR(__xludf.DUMMYFUNCTION("GOOGLETRANSLATE(C215,""en"",""hr"")"),"Remenica klinastog remena (6 utora)")</f>
        <v>Remenica klinastog remena (6 utora)</v>
      </c>
      <c r="D2314" s="28" t="s">
        <v>11</v>
      </c>
      <c r="E2314" s="29">
        <v>1</v>
      </c>
      <c r="F2314" s="17"/>
    </row>
    <row r="2315" spans="1:6" ht="25.5" customHeight="1" x14ac:dyDescent="0.2">
      <c r="A2315" s="27">
        <v>2313</v>
      </c>
      <c r="B2315" s="29" t="s">
        <v>106</v>
      </c>
      <c r="C2315" s="29" t="str">
        <f ca="1">IFERROR(__xludf.DUMMYFUNCTION("GOOGLETRANSLATE(C224,""en"",""hr"")"),"Remen (6 utora)")</f>
        <v>Remen (6 utora)</v>
      </c>
      <c r="D2315" s="28" t="s">
        <v>11</v>
      </c>
      <c r="E2315" s="29">
        <v>1</v>
      </c>
      <c r="F2315" s="17"/>
    </row>
    <row r="2316" spans="1:6" ht="25.5" customHeight="1" x14ac:dyDescent="0.2">
      <c r="A2316" s="27">
        <v>2314</v>
      </c>
      <c r="B2316" s="29" t="s">
        <v>108</v>
      </c>
      <c r="C2316" s="29" t="str">
        <f ca="1">IFERROR(__xludf.DUMMYFUNCTION("GOOGLETRANSLATE(C226,""en"",""hr"")"),"Remenica klinastog remena (5 utora)")</f>
        <v>Remenica klinastog remena (5 utora)</v>
      </c>
      <c r="D2316" s="28" t="s">
        <v>11</v>
      </c>
      <c r="E2316" s="29">
        <v>1</v>
      </c>
      <c r="F2316" s="17"/>
    </row>
    <row r="2317" spans="1:6" ht="25.5" customHeight="1" x14ac:dyDescent="0.2">
      <c r="A2317" s="27">
        <v>2315</v>
      </c>
      <c r="B2317" s="29" t="s">
        <v>109</v>
      </c>
      <c r="C2317" s="29" t="str">
        <f ca="1">IFERROR(__xludf.DUMMYFUNCTION("GOOGLETRANSLATE(C227,""en"",""hr"")"),"Remenica klinastog remena (6 utora)")</f>
        <v>Remenica klinastog remena (6 utora)</v>
      </c>
      <c r="D2317" s="28" t="s">
        <v>11</v>
      </c>
      <c r="E2317" s="29">
        <v>1</v>
      </c>
      <c r="F2317" s="17"/>
    </row>
    <row r="2318" spans="1:6" ht="25.5" customHeight="1" x14ac:dyDescent="0.2">
      <c r="A2318" s="27">
        <v>2316</v>
      </c>
      <c r="B2318" s="29" t="s">
        <v>79</v>
      </c>
      <c r="C2318" s="29" t="str">
        <f ca="1">IFERROR(__xludf.DUMMYFUNCTION("GOOGLETRANSLATE(C192,""en"",""hr"")"),"Vijak za ispuštanje ulja")</f>
        <v>Vijak za ispuštanje ulja</v>
      </c>
      <c r="D2318" s="28" t="s">
        <v>11</v>
      </c>
      <c r="E2318" s="29">
        <v>1</v>
      </c>
      <c r="F2318" s="17"/>
    </row>
    <row r="2319" spans="1:6" ht="25.5" customHeight="1" x14ac:dyDescent="0.2">
      <c r="A2319" s="27">
        <v>2317</v>
      </c>
      <c r="B2319" s="29" t="s">
        <v>81</v>
      </c>
      <c r="C2319" s="29" t="str">
        <f ca="1">IFERROR(__xludf.DUMMYFUNCTION("GOOGLETRANSLATE(C194,""en"",""hr"")"),"Filter goriva")</f>
        <v>Filter goriva</v>
      </c>
      <c r="D2319" s="28" t="s">
        <v>11</v>
      </c>
      <c r="E2319" s="29">
        <v>1</v>
      </c>
      <c r="F2319" s="17"/>
    </row>
    <row r="2320" spans="1:6" ht="25.5" customHeight="1" x14ac:dyDescent="0.2">
      <c r="A2320" s="27">
        <v>2318</v>
      </c>
      <c r="B2320" s="29" t="s">
        <v>84</v>
      </c>
      <c r="C2320" s="29" t="str">
        <f ca="1">IFERROR(__xludf.DUMMYFUNCTION("GOOGLETRANSLATE(C197,""en"",""hr"")"),"Predfilter goriva")</f>
        <v>Predfilter goriva</v>
      </c>
      <c r="D2320" s="28" t="s">
        <v>11</v>
      </c>
      <c r="E2320" s="29">
        <v>1</v>
      </c>
      <c r="F2320" s="17"/>
    </row>
    <row r="2321" spans="1:9" ht="25.5" customHeight="1" x14ac:dyDescent="0.2">
      <c r="A2321" s="27">
        <v>2319</v>
      </c>
      <c r="B2321" s="29" t="s">
        <v>85</v>
      </c>
      <c r="C2321" s="29" t="str">
        <f ca="1">IFERROR(__xludf.DUMMYFUNCTION("GOOGLETRANSLATE(C198,""en"",""hr"")"),"Sklop senzora")</f>
        <v>Sklop senzora</v>
      </c>
      <c r="D2321" s="28" t="s">
        <v>11</v>
      </c>
      <c r="E2321" s="29">
        <v>1</v>
      </c>
      <c r="F2321" s="17"/>
    </row>
    <row r="2322" spans="1:9" ht="25.5" customHeight="1" x14ac:dyDescent="0.2">
      <c r="A2322" s="27">
        <v>2320</v>
      </c>
      <c r="B2322" s="29" t="s">
        <v>82</v>
      </c>
      <c r="C2322" s="29" t="str">
        <f ca="1">IFERROR(__xludf.DUMMYFUNCTION("GOOGLETRANSLATE(C195,""en"",""hr"")"),"Senzor tlaka")</f>
        <v>Senzor tlaka</v>
      </c>
      <c r="D2322" s="28" t="s">
        <v>11</v>
      </c>
      <c r="E2322" s="29">
        <v>1</v>
      </c>
      <c r="F2322" s="17"/>
      <c r="I2322" s="4" t="b">
        <f>INT(F2320*100)=(F2320*100)</f>
        <v>1</v>
      </c>
    </row>
    <row r="2323" spans="1:9" ht="25.5" customHeight="1" x14ac:dyDescent="0.2">
      <c r="A2323" s="27">
        <v>2321</v>
      </c>
      <c r="B2323" s="29" t="s">
        <v>83</v>
      </c>
      <c r="C2323" s="29" t="str">
        <f ca="1">IFERROR(__xludf.DUMMYFUNCTION("GOOGLETRANSLATE(C196,""en"",""hr"")"),"brtva")</f>
        <v>brtva</v>
      </c>
      <c r="D2323" s="28" t="s">
        <v>11</v>
      </c>
      <c r="E2323" s="29">
        <v>1</v>
      </c>
      <c r="F2323" s="17"/>
    </row>
    <row r="2324" spans="1:9" ht="25.5" customHeight="1" x14ac:dyDescent="0.2">
      <c r="A2324" s="27">
        <v>2322</v>
      </c>
      <c r="B2324" s="29" t="s">
        <v>90</v>
      </c>
      <c r="C2324" s="29" t="str">
        <f ca="1">IFERROR(__xludf.DUMMYFUNCTION("GOOGLETRANSLATE(C205,""en"",""hr"")"),"Sklop startera")</f>
        <v>Sklop startera</v>
      </c>
      <c r="D2324" s="28" t="s">
        <v>11</v>
      </c>
      <c r="E2324" s="29">
        <v>1</v>
      </c>
      <c r="F2324" s="17"/>
    </row>
    <row r="2325" spans="1:9" ht="25.5" customHeight="1" x14ac:dyDescent="0.2">
      <c r="A2325" s="27">
        <v>2323</v>
      </c>
      <c r="B2325" s="29" t="s">
        <v>69</v>
      </c>
      <c r="C2325" s="29" t="str">
        <f ca="1">IFERROR(__xludf.DUMMYFUNCTION("GOOGLETRANSLATE(C176,""en"",""hr"")"),"Poklopac glave brtve")</f>
        <v>Poklopac glave brtve</v>
      </c>
      <c r="D2325" s="28" t="s">
        <v>11</v>
      </c>
      <c r="E2325" s="29">
        <v>1</v>
      </c>
      <c r="F2325" s="17"/>
      <c r="I2325" s="4" t="b">
        <f>INT(F1970*100)=(F1970*100)</f>
        <v>1</v>
      </c>
    </row>
    <row r="2326" spans="1:9" ht="25.5" customHeight="1" x14ac:dyDescent="0.2">
      <c r="A2326" s="27">
        <v>2324</v>
      </c>
      <c r="B2326" s="29" t="s">
        <v>68</v>
      </c>
      <c r="C2326" s="29" t="str">
        <f ca="1">IFERROR(__xludf.DUMMYFUNCTION("GOOGLETRANSLATE(C175,""en"",""hr"")"),"Čep za punjenje")</f>
        <v>Čep za punjenje</v>
      </c>
      <c r="D2326" s="28" t="s">
        <v>11</v>
      </c>
      <c r="E2326" s="29">
        <v>1</v>
      </c>
      <c r="F2326" s="17"/>
    </row>
    <row r="2327" spans="1:9" ht="25.5" customHeight="1" x14ac:dyDescent="0.2">
      <c r="A2327" s="27">
        <v>2325</v>
      </c>
      <c r="B2327" s="29" t="s">
        <v>89</v>
      </c>
      <c r="C2327" s="29" t="str">
        <f ca="1">IFERROR(__xludf.DUMMYFUNCTION("GOOGLETRANSLATE(C203,""en"",""hr"")"),"Pumpa za gorivo")</f>
        <v>Pumpa za gorivo</v>
      </c>
      <c r="D2327" s="28" t="s">
        <v>11</v>
      </c>
      <c r="E2327" s="29">
        <v>1</v>
      </c>
      <c r="F2327" s="17"/>
    </row>
    <row r="2328" spans="1:9" ht="25.5" customHeight="1" x14ac:dyDescent="0.2">
      <c r="A2328" s="27">
        <v>2326</v>
      </c>
      <c r="B2328" s="29" t="s">
        <v>65</v>
      </c>
      <c r="C2328" s="29" t="str">
        <f ca="1">IFERROR(__xludf.DUMMYFUNCTION("GOOGLETRANSLATE(C172,""en"",""hr"")"),"Mlaznica")</f>
        <v>Mlaznica</v>
      </c>
      <c r="D2328" s="28" t="s">
        <v>11</v>
      </c>
      <c r="E2328" s="29">
        <v>1</v>
      </c>
      <c r="F2328" s="17"/>
    </row>
    <row r="2329" spans="1:9" ht="25.5" customHeight="1" x14ac:dyDescent="0.2">
      <c r="A2329" s="27">
        <v>2327</v>
      </c>
      <c r="B2329" s="29" t="s">
        <v>67</v>
      </c>
      <c r="C2329" s="29" t="str">
        <f ca="1">IFERROR(__xludf.DUMMYFUNCTION("GOOGLETRANSLATE(C174,""en"",""hr"")"),"Disk za brtvljenje")</f>
        <v>Disk za brtvljenje</v>
      </c>
      <c r="D2329" s="28" t="s">
        <v>11</v>
      </c>
      <c r="E2329" s="29">
        <v>1</v>
      </c>
      <c r="F2329" s="17"/>
      <c r="I2329" s="4" t="b">
        <f>INT(F2327*100)=(F2327*100)</f>
        <v>1</v>
      </c>
    </row>
    <row r="2330" spans="1:9" ht="25.5" customHeight="1" x14ac:dyDescent="0.2">
      <c r="A2330" s="27">
        <v>2328</v>
      </c>
      <c r="B2330" s="29" t="s">
        <v>66</v>
      </c>
      <c r="C2330" s="29" t="str">
        <f ca="1">IFERROR(__xludf.DUMMYFUNCTION("GOOGLETRANSLATE(C173,""en"",""hr"")"),"brtva")</f>
        <v>brtva</v>
      </c>
      <c r="D2330" s="28" t="s">
        <v>11</v>
      </c>
      <c r="E2330" s="29">
        <v>1</v>
      </c>
      <c r="F2330" s="17"/>
    </row>
    <row r="2331" spans="1:9" ht="25.5" customHeight="1" x14ac:dyDescent="0.2">
      <c r="A2331" s="27">
        <v>2329</v>
      </c>
      <c r="B2331" s="29" t="s">
        <v>70</v>
      </c>
      <c r="C2331" s="29" t="str">
        <f ca="1">IFERROR(__xludf.DUMMYFUNCTION("GOOGLETRANSLATE(C177,""en"",""hr"")"),"Cijev, injekcija")</f>
        <v>Cijev, injekcija</v>
      </c>
      <c r="D2331" s="28" t="s">
        <v>11</v>
      </c>
      <c r="E2331" s="29">
        <v>1</v>
      </c>
      <c r="F2331" s="17"/>
    </row>
    <row r="2332" spans="1:9" ht="25.5" customHeight="1" x14ac:dyDescent="0.2">
      <c r="A2332" s="27">
        <v>2330</v>
      </c>
      <c r="B2332" s="29" t="s">
        <v>71</v>
      </c>
      <c r="C2332" s="29" t="str">
        <f ca="1">IFERROR(__xludf.DUMMYFUNCTION("GOOGLETRANSLATE(C178,""en"",""hr"")"),"Cijev, injekcija")</f>
        <v>Cijev, injekcija</v>
      </c>
      <c r="D2332" s="28" t="s">
        <v>11</v>
      </c>
      <c r="E2332" s="29">
        <v>1</v>
      </c>
      <c r="F2332" s="17"/>
    </row>
    <row r="2333" spans="1:9" ht="25.5" customHeight="1" x14ac:dyDescent="0.2">
      <c r="A2333" s="27">
        <v>2331</v>
      </c>
      <c r="B2333" s="29" t="s">
        <v>54</v>
      </c>
      <c r="C2333" s="29" t="str">
        <f ca="1">IFERROR(__xludf.DUMMYFUNCTION("GOOGLETRANSLATE(C161,""en"",""hr"")"),"Pumpa rashladne tekućine")</f>
        <v>Pumpa rashladne tekućine</v>
      </c>
      <c r="D2333" s="28" t="s">
        <v>11</v>
      </c>
      <c r="E2333" s="29">
        <v>1</v>
      </c>
      <c r="F2333" s="17"/>
    </row>
    <row r="2334" spans="1:9" ht="25.5" customHeight="1" x14ac:dyDescent="0.2">
      <c r="A2334" s="27">
        <v>2332</v>
      </c>
      <c r="B2334" s="29" t="s">
        <v>55</v>
      </c>
      <c r="C2334" s="29" t="str">
        <f ca="1">IFERROR(__xludf.DUMMYFUNCTION("GOOGLETRANSLATE(C162,""en"",""hr"")"),"brtva")</f>
        <v>brtva</v>
      </c>
      <c r="D2334" s="28" t="s">
        <v>11</v>
      </c>
      <c r="E2334" s="29">
        <v>1</v>
      </c>
      <c r="F2334" s="17"/>
    </row>
    <row r="2335" spans="1:9" ht="25.5" customHeight="1" x14ac:dyDescent="0.2">
      <c r="A2335" s="27">
        <v>2333</v>
      </c>
      <c r="B2335" s="29" t="s">
        <v>56</v>
      </c>
      <c r="C2335" s="29" t="str">
        <f ca="1">IFERROR(__xludf.DUMMYFUNCTION("GOOGLETRANSLATE(C163,""en"",""hr"")"),"brtva")</f>
        <v>brtva</v>
      </c>
      <c r="D2335" s="28" t="s">
        <v>11</v>
      </c>
      <c r="E2335" s="29">
        <v>1</v>
      </c>
      <c r="F2335" s="17"/>
    </row>
    <row r="2336" spans="1:9" ht="25.5" customHeight="1" x14ac:dyDescent="0.2">
      <c r="A2336" s="27">
        <v>2334</v>
      </c>
      <c r="B2336" s="29" t="s">
        <v>91</v>
      </c>
      <c r="C2336" s="29" t="str">
        <f ca="1">IFERROR(__xludf.DUMMYFUNCTION("GOOGLETRANSLATE(C206,""en"",""hr"")"),"Termostat")</f>
        <v>Termostat</v>
      </c>
      <c r="D2336" s="28" t="s">
        <v>11</v>
      </c>
      <c r="E2336" s="29">
        <v>1</v>
      </c>
      <c r="F2336" s="17"/>
    </row>
    <row r="2337" spans="1:9" ht="25.5" customHeight="1" x14ac:dyDescent="0.2">
      <c r="A2337" s="27">
        <v>2335</v>
      </c>
      <c r="B2337" s="29" t="s">
        <v>92</v>
      </c>
      <c r="C2337" s="29" t="str">
        <f ca="1">IFERROR(__xludf.DUMMYFUNCTION("GOOGLETRANSLATE(C207,""en"",""hr"")"),"brtva O-prstena")</f>
        <v>brtva O-prstena</v>
      </c>
      <c r="D2337" s="28" t="s">
        <v>11</v>
      </c>
      <c r="E2337" s="29">
        <v>1</v>
      </c>
      <c r="F2337" s="17"/>
    </row>
    <row r="2338" spans="1:9" ht="25.5" customHeight="1" x14ac:dyDescent="0.2">
      <c r="A2338" s="27">
        <v>2336</v>
      </c>
      <c r="B2338" s="29" t="s">
        <v>94</v>
      </c>
      <c r="C2338" s="29" t="str">
        <f ca="1">IFERROR(__xludf.DUMMYFUNCTION("GOOGLETRANSLATE(C209,""en"",""hr"")"),"Poklopac")</f>
        <v>Poklopac</v>
      </c>
      <c r="D2338" s="28" t="s">
        <v>11</v>
      </c>
      <c r="E2338" s="29">
        <v>1</v>
      </c>
      <c r="F2338" s="17"/>
    </row>
    <row r="2339" spans="1:9" ht="25.5" customHeight="1" x14ac:dyDescent="0.2">
      <c r="A2339" s="27">
        <v>2337</v>
      </c>
      <c r="B2339" s="29" t="s">
        <v>93</v>
      </c>
      <c r="C2339" s="29" t="str">
        <f ca="1">IFERROR(__xludf.DUMMYFUNCTION("GOOGLETRANSLATE(C208,""en"",""hr"")"),"brtva")</f>
        <v>brtva</v>
      </c>
      <c r="D2339" s="28" t="s">
        <v>11</v>
      </c>
      <c r="E2339" s="29">
        <v>1</v>
      </c>
      <c r="F2339" s="17"/>
    </row>
    <row r="2340" spans="1:9" ht="25.5" customHeight="1" x14ac:dyDescent="0.2">
      <c r="A2340" s="27">
        <v>2338</v>
      </c>
      <c r="B2340" s="29" t="s">
        <v>62</v>
      </c>
      <c r="C2340" s="29" t="str">
        <f ca="1">IFERROR(__xludf.DUMMYFUNCTION("GOOGLETRANSLATE(C169,""en"",""hr"")"),"Remenica klinastog remena")</f>
        <v>Remenica klinastog remena</v>
      </c>
      <c r="D2340" s="28" t="s">
        <v>11</v>
      </c>
      <c r="E2340" s="29">
        <v>1</v>
      </c>
      <c r="F2340" s="17"/>
    </row>
    <row r="2341" spans="1:9" ht="25.5" customHeight="1" x14ac:dyDescent="0.2">
      <c r="A2341" s="27">
        <v>2339</v>
      </c>
      <c r="B2341" s="29" t="s">
        <v>60</v>
      </c>
      <c r="C2341" s="29" t="str">
        <f ca="1">IFERROR(__xludf.DUMMYFUNCTION("GOOGLETRANSLATE(C167,""en"",""hr"")"),"Kolut")</f>
        <v>Kolut</v>
      </c>
      <c r="D2341" s="28" t="s">
        <v>11</v>
      </c>
      <c r="E2341" s="29">
        <v>1</v>
      </c>
      <c r="F2341" s="17"/>
    </row>
    <row r="2342" spans="1:9" ht="25.5" customHeight="1" x14ac:dyDescent="0.2">
      <c r="A2342" s="27">
        <v>2340</v>
      </c>
      <c r="B2342" s="29" t="s">
        <v>61</v>
      </c>
      <c r="C2342" s="29" t="str">
        <f ca="1">IFERROR(__xludf.DUMMYFUNCTION("GOOGLETRANSLATE(C168,""en"",""hr"")"),"Remenica klinastog remena")</f>
        <v>Remenica klinastog remena</v>
      </c>
      <c r="D2342" s="28" t="s">
        <v>11</v>
      </c>
      <c r="E2342" s="29">
        <v>1</v>
      </c>
      <c r="F2342" s="17"/>
    </row>
    <row r="2343" spans="1:9" ht="25.5" customHeight="1" x14ac:dyDescent="0.2">
      <c r="A2343" s="27">
        <v>2341</v>
      </c>
      <c r="B2343" s="29" t="s">
        <v>64</v>
      </c>
      <c r="C2343" s="29" t="str">
        <f ca="1">IFERROR(__xludf.DUMMYFUNCTION("GOOGLETRANSLATE(C171,""en"",""hr"")"),"Klinasti remen")</f>
        <v>Klinasti remen</v>
      </c>
      <c r="D2343" s="28" t="s">
        <v>11</v>
      </c>
      <c r="E2343" s="29">
        <v>1</v>
      </c>
      <c r="F2343" s="17"/>
    </row>
    <row r="2344" spans="1:9" ht="25.5" customHeight="1" x14ac:dyDescent="0.2">
      <c r="A2344" s="27">
        <v>2342</v>
      </c>
      <c r="B2344" s="29" t="s">
        <v>63</v>
      </c>
      <c r="C2344" s="29" t="str">
        <f ca="1">IFERROR(__xludf.DUMMYFUNCTION("GOOGLETRANSLATE(C170,""en"",""hr"")"),"Remenica klinastog remena")</f>
        <v>Remenica klinastog remena</v>
      </c>
      <c r="D2344" s="28" t="s">
        <v>11</v>
      </c>
      <c r="E2344" s="29">
        <v>1</v>
      </c>
      <c r="F2344" s="17"/>
    </row>
    <row r="2345" spans="1:9" ht="25.5" customHeight="1" x14ac:dyDescent="0.2">
      <c r="A2345" s="27">
        <v>2343</v>
      </c>
      <c r="B2345" s="29" t="s">
        <v>57</v>
      </c>
      <c r="C2345" s="29" t="str">
        <f ca="1">IFERROR(__xludf.DUMMYFUNCTION("GOOGLETRANSLATE(C164,""en"",""hr"")"),"Kompresor klime")</f>
        <v>Kompresor klime</v>
      </c>
      <c r="D2345" s="28" t="s">
        <v>11</v>
      </c>
      <c r="E2345" s="29">
        <v>1</v>
      </c>
      <c r="F2345" s="17"/>
    </row>
    <row r="2346" spans="1:9" ht="25.5" customHeight="1" x14ac:dyDescent="0.2">
      <c r="A2346" s="27">
        <v>2344</v>
      </c>
      <c r="B2346" s="29" t="s">
        <v>58</v>
      </c>
      <c r="C2346" s="29" t="str">
        <f ca="1">IFERROR(__xludf.DUMMYFUNCTION("GOOGLETRANSLATE(C165,""en"",""hr"")"),"Uski klinasti remen")</f>
        <v>Uski klinasti remen</v>
      </c>
      <c r="D2346" s="28" t="s">
        <v>11</v>
      </c>
      <c r="E2346" s="29">
        <v>1</v>
      </c>
      <c r="F2346" s="17"/>
    </row>
    <row r="2347" spans="1:9" ht="25.5" customHeight="1" x14ac:dyDescent="0.2">
      <c r="A2347" s="27">
        <v>2345</v>
      </c>
      <c r="B2347" s="29" t="s">
        <v>59</v>
      </c>
      <c r="C2347" s="29" t="str">
        <f ca="1">IFERROR(__xludf.DUMMYFUNCTION("GOOGLETRANSLATE(C166,""en"",""hr"")"),"Nosiljka za pojas")</f>
        <v>Nosiljka za pojas</v>
      </c>
      <c r="D2347" s="28" t="s">
        <v>11</v>
      </c>
      <c r="E2347" s="29">
        <v>1</v>
      </c>
      <c r="F2347" s="17"/>
    </row>
    <row r="2348" spans="1:9" ht="25.5" customHeight="1" x14ac:dyDescent="0.2">
      <c r="A2348" s="27">
        <v>2346</v>
      </c>
      <c r="B2348" s="29" t="s">
        <v>1656</v>
      </c>
      <c r="C2348" s="29" t="str">
        <f ca="1">IFERROR(__xludf.DUMMYFUNCTION("GOOGLETRANSLATE(C5636,""en"",""hr"")"),"Nosač generatora")</f>
        <v>Nosač generatora</v>
      </c>
      <c r="D2348" s="28" t="s">
        <v>11</v>
      </c>
      <c r="E2348" s="29">
        <v>1</v>
      </c>
      <c r="F2348" s="17"/>
      <c r="I2348" s="4" t="b">
        <f>INT(F2346*100)=(F2346*100)</f>
        <v>1</v>
      </c>
    </row>
    <row r="2349" spans="1:9" ht="25.5" customHeight="1" x14ac:dyDescent="0.2">
      <c r="A2349" s="27">
        <v>2347</v>
      </c>
      <c r="B2349" s="29" t="s">
        <v>450</v>
      </c>
      <c r="C2349" s="29" t="str">
        <f ca="1">IFERROR(__xludf.DUMMYFUNCTION("GOOGLETRANSLATE(C1081,""en"",""hr"")"),"brtva")</f>
        <v>brtva</v>
      </c>
      <c r="D2349" s="28" t="s">
        <v>11</v>
      </c>
      <c r="E2349" s="29">
        <v>1</v>
      </c>
      <c r="F2349" s="17"/>
    </row>
    <row r="2350" spans="1:9" ht="25.5" customHeight="1" x14ac:dyDescent="0.2">
      <c r="A2350" s="27">
        <v>2348</v>
      </c>
      <c r="B2350" s="29" t="s">
        <v>1657</v>
      </c>
      <c r="C2350" s="29" t="str">
        <f ca="1">IFERROR(__xludf.DUMMYFUNCTION("GOOGLETRANSLATE(C5637,""en"",""hr"")"),"Okov")</f>
        <v>Okov</v>
      </c>
      <c r="D2350" s="28" t="s">
        <v>11</v>
      </c>
      <c r="E2350" s="29">
        <v>1</v>
      </c>
      <c r="F2350" s="17"/>
    </row>
    <row r="2351" spans="1:9" ht="25.5" customHeight="1" x14ac:dyDescent="0.2">
      <c r="A2351" s="27">
        <v>2349</v>
      </c>
      <c r="B2351" s="29" t="s">
        <v>1658</v>
      </c>
      <c r="C2351" s="29" t="str">
        <f ca="1">IFERROR(__xludf.DUMMYFUNCTION("GOOGLETRANSLATE(C5638,""en"",""hr"")"),"Okov")</f>
        <v>Okov</v>
      </c>
      <c r="D2351" s="28" t="s">
        <v>11</v>
      </c>
      <c r="E2351" s="29">
        <v>1</v>
      </c>
      <c r="F2351" s="17"/>
      <c r="I2351" s="4" t="b">
        <f>INT(F2349*100)=(F2349*100)</f>
        <v>1</v>
      </c>
    </row>
    <row r="2352" spans="1:9" ht="25.5" customHeight="1" x14ac:dyDescent="0.2">
      <c r="A2352" s="27">
        <v>2350</v>
      </c>
      <c r="B2352" s="29" t="s">
        <v>456</v>
      </c>
      <c r="C2352" s="29" t="str">
        <f ca="1">IFERROR(__xludf.DUMMYFUNCTION("GOOGLETRANSLATE(C1109,""en"",""hr"")"),"Stezaljka za cijevi")</f>
        <v>Stezaljka za cijevi</v>
      </c>
      <c r="D2352" s="28" t="s">
        <v>11</v>
      </c>
      <c r="E2352" s="29">
        <v>1</v>
      </c>
      <c r="F2352" s="17"/>
    </row>
    <row r="2353" spans="1:9" ht="25.5" customHeight="1" x14ac:dyDescent="0.2">
      <c r="A2353" s="27">
        <v>2351</v>
      </c>
      <c r="B2353" s="29" t="s">
        <v>457</v>
      </c>
      <c r="C2353" s="29" t="str">
        <f ca="1">IFERROR(__xludf.DUMMYFUNCTION("GOOGLETRANSLATE(C1110,""en"",""hr"")"),"Kompenzator")</f>
        <v>Kompenzator</v>
      </c>
      <c r="D2353" s="28" t="s">
        <v>11</v>
      </c>
      <c r="E2353" s="29">
        <v>1</v>
      </c>
      <c r="F2353" s="17"/>
    </row>
    <row r="2354" spans="1:9" ht="25.5" customHeight="1" x14ac:dyDescent="0.2">
      <c r="A2354" s="27">
        <v>2352</v>
      </c>
      <c r="B2354" s="29" t="s">
        <v>459</v>
      </c>
      <c r="C2354" s="29" t="str">
        <f ca="1">IFERROR(__xludf.DUMMYFUNCTION("GOOGLETRANSLATE(C1112,""en"",""hr"")"),"Stezaljka za cijevi")</f>
        <v>Stezaljka za cijevi</v>
      </c>
      <c r="D2354" s="28" t="s">
        <v>11</v>
      </c>
      <c r="E2354" s="29">
        <v>1</v>
      </c>
      <c r="F2354" s="17"/>
    </row>
    <row r="2355" spans="1:9" ht="25.5" customHeight="1" x14ac:dyDescent="0.2">
      <c r="A2355" s="27">
        <v>2353</v>
      </c>
      <c r="B2355" s="29" t="s">
        <v>460</v>
      </c>
      <c r="C2355" s="29" t="str">
        <f ca="1">IFERROR(__xludf.DUMMYFUNCTION("GOOGLETRANSLATE(C1113,""en"",""hr"")"),"Stezaljka za cijevi")</f>
        <v>Stezaljka za cijevi</v>
      </c>
      <c r="D2355" s="28" t="s">
        <v>11</v>
      </c>
      <c r="E2355" s="29">
        <v>1</v>
      </c>
      <c r="F2355" s="17"/>
      <c r="I2355" s="4" t="b">
        <f>INT(F2353*100)=(F2353*100)</f>
        <v>1</v>
      </c>
    </row>
    <row r="2356" spans="1:9" ht="25.5" customHeight="1" x14ac:dyDescent="0.2">
      <c r="A2356" s="27">
        <v>2354</v>
      </c>
      <c r="B2356" s="29" t="s">
        <v>458</v>
      </c>
      <c r="C2356" s="29" t="str">
        <f ca="1">IFERROR(__xludf.DUMMYFUNCTION("GOOGLETRANSLATE(C1111,""en"",""hr"")"),"brtva")</f>
        <v>brtva</v>
      </c>
      <c r="D2356" s="28" t="s">
        <v>11</v>
      </c>
      <c r="E2356" s="29">
        <v>1</v>
      </c>
      <c r="F2356" s="17"/>
    </row>
    <row r="2357" spans="1:9" ht="25.5" customHeight="1" x14ac:dyDescent="0.2">
      <c r="A2357" s="27">
        <v>2355</v>
      </c>
      <c r="B2357" s="29" t="s">
        <v>461</v>
      </c>
      <c r="C2357" s="29" t="str">
        <f ca="1">IFERROR(__xludf.DUMMYFUNCTION("GOOGLETRANSLATE(C1114,""en"",""hr"")"),"Stezaljka za cijevi")</f>
        <v>Stezaljka za cijevi</v>
      </c>
      <c r="D2357" s="28" t="s">
        <v>11</v>
      </c>
      <c r="E2357" s="29">
        <v>1</v>
      </c>
      <c r="F2357" s="17"/>
    </row>
    <row r="2358" spans="1:9" ht="25.5" customHeight="1" x14ac:dyDescent="0.2">
      <c r="A2358" s="27">
        <v>2356</v>
      </c>
      <c r="B2358" s="29" t="s">
        <v>462</v>
      </c>
      <c r="C2358" s="29" t="str">
        <f ca="1">IFERROR(__xludf.DUMMYFUNCTION("GOOGLETRANSLATE(C1115,""en"",""hr"")"),"Vijak")</f>
        <v>Vijak</v>
      </c>
      <c r="D2358" s="28" t="s">
        <v>11</v>
      </c>
      <c r="E2358" s="29">
        <v>1</v>
      </c>
      <c r="F2358" s="17"/>
    </row>
    <row r="2359" spans="1:9" ht="25.5" customHeight="1" x14ac:dyDescent="0.2">
      <c r="A2359" s="27">
        <v>2357</v>
      </c>
      <c r="B2359" s="29" t="s">
        <v>463</v>
      </c>
      <c r="C2359" s="29" t="str">
        <f ca="1">IFERROR(__xludf.DUMMYFUNCTION("GOOGLETRANSLATE(C1116,""en"",""hr"")"),"Vijak")</f>
        <v>Vijak</v>
      </c>
      <c r="D2359" s="28" t="s">
        <v>11</v>
      </c>
      <c r="E2359" s="29">
        <v>1</v>
      </c>
      <c r="F2359" s="17"/>
    </row>
    <row r="2360" spans="1:9" ht="25.5" customHeight="1" x14ac:dyDescent="0.2">
      <c r="A2360" s="27">
        <v>2358</v>
      </c>
      <c r="B2360" s="29" t="s">
        <v>464</v>
      </c>
      <c r="C2360" s="29" t="str">
        <f ca="1">IFERROR(__xludf.DUMMYFUNCTION("GOOGLETRANSLATE(C1117,""en"",""hr"")"),"Konzola")</f>
        <v>Konzola</v>
      </c>
      <c r="D2360" s="28" t="s">
        <v>11</v>
      </c>
      <c r="E2360" s="29">
        <v>1</v>
      </c>
      <c r="F2360" s="17"/>
    </row>
    <row r="2361" spans="1:9" ht="25.5" customHeight="1" x14ac:dyDescent="0.2">
      <c r="A2361" s="27">
        <v>2359</v>
      </c>
      <c r="B2361" s="29" t="s">
        <v>465</v>
      </c>
      <c r="C2361" s="29" t="str">
        <f ca="1">IFERROR(__xludf.DUMMYFUNCTION("GOOGLETRANSLATE(C1118,""en"",""hr"")"),"Vijak")</f>
        <v>Vijak</v>
      </c>
      <c r="D2361" s="28" t="s">
        <v>11</v>
      </c>
      <c r="E2361" s="29">
        <v>1</v>
      </c>
      <c r="F2361" s="17"/>
    </row>
    <row r="2362" spans="1:9" ht="25.5" customHeight="1" x14ac:dyDescent="0.2">
      <c r="A2362" s="27">
        <v>2360</v>
      </c>
      <c r="B2362" s="29" t="s">
        <v>466</v>
      </c>
      <c r="C2362" s="29" t="str">
        <f ca="1">IFERROR(__xludf.DUMMYFUNCTION("GOOGLETRANSLATE(C1119,""en"",""hr"")"),"Potporni prsten")</f>
        <v>Potporni prsten</v>
      </c>
      <c r="D2362" s="28" t="s">
        <v>11</v>
      </c>
      <c r="E2362" s="29">
        <v>1</v>
      </c>
      <c r="F2362" s="17"/>
    </row>
    <row r="2363" spans="1:9" ht="25.5" customHeight="1" x14ac:dyDescent="0.2">
      <c r="A2363" s="27">
        <v>2361</v>
      </c>
      <c r="B2363" s="29" t="s">
        <v>471</v>
      </c>
      <c r="C2363" s="29" t="str">
        <f ca="1">IFERROR(__xludf.DUMMYFUNCTION("GOOGLETRANSLATE(C1124,""en"",""hr"")"),"Kućište pužnog mjenjača")</f>
        <v>Kućište pužnog mjenjača</v>
      </c>
      <c r="D2363" s="28" t="s">
        <v>11</v>
      </c>
      <c r="E2363" s="29">
        <v>1</v>
      </c>
      <c r="F2363" s="17"/>
    </row>
    <row r="2364" spans="1:9" ht="25.5" customHeight="1" x14ac:dyDescent="0.2">
      <c r="A2364" s="27">
        <v>2362</v>
      </c>
      <c r="B2364" s="29" t="s">
        <v>468</v>
      </c>
      <c r="C2364" s="29" t="str">
        <f ca="1">IFERROR(__xludf.DUMMYFUNCTION("GOOGLETRANSLATE(C1121,""en"",""hr"")"),"Stezaljka za cijevi")</f>
        <v>Stezaljka za cijevi</v>
      </c>
      <c r="D2364" s="28" t="s">
        <v>11</v>
      </c>
      <c r="E2364" s="29">
        <v>1</v>
      </c>
      <c r="F2364" s="17"/>
    </row>
    <row r="2365" spans="1:9" ht="25.5" customHeight="1" x14ac:dyDescent="0.2">
      <c r="A2365" s="27">
        <v>2363</v>
      </c>
      <c r="B2365" s="29" t="s">
        <v>470</v>
      </c>
      <c r="C2365" s="29" t="str">
        <f ca="1">IFERROR(__xludf.DUMMYFUNCTION("GOOGLETRANSLATE(C1123,""en"",""hr"")"),"Filter čestica")</f>
        <v>Filter čestica</v>
      </c>
      <c r="D2365" s="28" t="s">
        <v>11</v>
      </c>
      <c r="E2365" s="29">
        <v>1</v>
      </c>
      <c r="F2365" s="17"/>
    </row>
    <row r="2366" spans="1:9" ht="25.5" customHeight="1" x14ac:dyDescent="0.2">
      <c r="A2366" s="27">
        <v>2364</v>
      </c>
      <c r="B2366" s="29" t="s">
        <v>469</v>
      </c>
      <c r="C2366" s="29" t="str">
        <f ca="1">IFERROR(__xludf.DUMMYFUNCTION("GOOGLETRANSLATE(C1122,""en"",""hr"")"),"brtva")</f>
        <v>brtva</v>
      </c>
      <c r="D2366" s="28" t="s">
        <v>11</v>
      </c>
      <c r="E2366" s="29">
        <v>1</v>
      </c>
      <c r="F2366" s="17"/>
    </row>
    <row r="2367" spans="1:9" ht="25.5" customHeight="1" x14ac:dyDescent="0.2">
      <c r="A2367" s="27">
        <v>2365</v>
      </c>
      <c r="B2367" s="29" t="s">
        <v>467</v>
      </c>
      <c r="C2367" s="29" t="str">
        <f ca="1">IFERROR(__xludf.DUMMYFUNCTION("GOOGLETRANSLATE(C1120,""en"",""hr"")"),"Kućište pužnog mjenjača")</f>
        <v>Kućište pužnog mjenjača</v>
      </c>
      <c r="D2367" s="28" t="s">
        <v>11</v>
      </c>
      <c r="E2367" s="29">
        <v>1</v>
      </c>
      <c r="F2367" s="17"/>
    </row>
    <row r="2368" spans="1:9" ht="25.5" customHeight="1" x14ac:dyDescent="0.2">
      <c r="A2368" s="27">
        <v>2366</v>
      </c>
      <c r="B2368" s="29" t="s">
        <v>375</v>
      </c>
      <c r="C2368" s="29" t="str">
        <f ca="1">IFERROR(__xludf.DUMMYFUNCTION("GOOGLETRANSLATE(C851,""en"",""hr"")"),"Okretna matica")</f>
        <v>Okretna matica</v>
      </c>
      <c r="D2368" s="28" t="s">
        <v>11</v>
      </c>
      <c r="E2368" s="29">
        <v>1</v>
      </c>
      <c r="F2368" s="17"/>
    </row>
    <row r="2369" spans="1:9" ht="25.5" customHeight="1" x14ac:dyDescent="0.2">
      <c r="A2369" s="27">
        <v>2367</v>
      </c>
      <c r="B2369" s="29" t="s">
        <v>1743</v>
      </c>
      <c r="C2369" s="29" t="str">
        <f ca="1">IFERROR(__xludf.DUMMYFUNCTION("GOOGLETRANSLATE(C6089,""en"",""hr"")"),"Okretna matica")</f>
        <v>Okretna matica</v>
      </c>
      <c r="D2369" s="28" t="s">
        <v>11</v>
      </c>
      <c r="E2369" s="29">
        <v>1</v>
      </c>
      <c r="F2369" s="17"/>
    </row>
    <row r="2370" spans="1:9" ht="25.5" customHeight="1" x14ac:dyDescent="0.2">
      <c r="A2370" s="27">
        <v>2368</v>
      </c>
      <c r="B2370" s="29" t="s">
        <v>374</v>
      </c>
      <c r="C2370" s="29" t="str">
        <f ca="1">IFERROR(__xludf.DUMMYFUNCTION("GOOGLETRANSLATE(C850,""en"",""hr"")"),"Progresivni prsten")</f>
        <v>Progresivni prsten</v>
      </c>
      <c r="D2370" s="28" t="s">
        <v>11</v>
      </c>
      <c r="E2370" s="29">
        <v>1</v>
      </c>
      <c r="F2370" s="17"/>
    </row>
    <row r="2371" spans="1:9" ht="25.5" customHeight="1" x14ac:dyDescent="0.2">
      <c r="A2371" s="27">
        <v>2369</v>
      </c>
      <c r="B2371" s="29" t="s">
        <v>242</v>
      </c>
      <c r="C2371" s="29" t="str">
        <f ca="1">IFERROR(__xludf.DUMMYFUNCTION("GOOGLETRANSLATE(C507,""en"",""hr"")"),"Veza")</f>
        <v>Veza</v>
      </c>
      <c r="D2371" s="28" t="s">
        <v>11</v>
      </c>
      <c r="E2371" s="29">
        <v>1</v>
      </c>
      <c r="F2371" s="17"/>
    </row>
    <row r="2372" spans="1:9" ht="25.5" customHeight="1" x14ac:dyDescent="0.2">
      <c r="A2372" s="27">
        <v>2370</v>
      </c>
      <c r="B2372" s="29" t="s">
        <v>1694</v>
      </c>
      <c r="C2372" s="29" t="str">
        <f ca="1">IFERROR(__xludf.DUMMYFUNCTION("GOOGLETRANSLATE(C5874,""en"",""hr"")"),"Veza")</f>
        <v>Veza</v>
      </c>
      <c r="D2372" s="28" t="s">
        <v>11</v>
      </c>
      <c r="E2372" s="29">
        <v>1</v>
      </c>
      <c r="F2372" s="17"/>
    </row>
    <row r="2373" spans="1:9" ht="25.5" customHeight="1" x14ac:dyDescent="0.2">
      <c r="A2373" s="27">
        <v>2371</v>
      </c>
      <c r="B2373" s="29" t="s">
        <v>409</v>
      </c>
      <c r="C2373" s="29" t="str">
        <f ca="1">IFERROR(__xludf.DUMMYFUNCTION("GOOGLETRANSLATE(C957,""en"",""hr"")"),"Veza")</f>
        <v>Veza</v>
      </c>
      <c r="D2373" s="28" t="s">
        <v>11</v>
      </c>
      <c r="E2373" s="29">
        <v>1</v>
      </c>
      <c r="F2373" s="17"/>
      <c r="I2373" s="4" t="b">
        <f>INT(F2371*100)=(F2371*100)</f>
        <v>1</v>
      </c>
    </row>
    <row r="2374" spans="1:9" ht="25.5" customHeight="1" x14ac:dyDescent="0.2">
      <c r="A2374" s="27">
        <v>2372</v>
      </c>
      <c r="B2374" s="29" t="s">
        <v>479</v>
      </c>
      <c r="C2374" s="29" t="str">
        <f ca="1">IFERROR(__xludf.DUMMYFUNCTION("GOOGLETRANSLATE(C1153,""en"",""hr"")"),"Veza")</f>
        <v>Veza</v>
      </c>
      <c r="D2374" s="28" t="s">
        <v>11</v>
      </c>
      <c r="E2374" s="29">
        <v>1</v>
      </c>
      <c r="F2374" s="17"/>
    </row>
    <row r="2375" spans="1:9" ht="25.5" customHeight="1" x14ac:dyDescent="0.2">
      <c r="A2375" s="27">
        <v>2373</v>
      </c>
      <c r="B2375" s="29" t="s">
        <v>250</v>
      </c>
      <c r="C2375" s="29" t="str">
        <f ca="1">IFERROR(__xludf.DUMMYFUNCTION("GOOGLETRANSLATE(C530,""en"",""hr"")"),"Ravni uvrtni vijčani spoj")</f>
        <v>Ravni uvrtni vijčani spoj</v>
      </c>
      <c r="D2375" s="28" t="s">
        <v>11</v>
      </c>
      <c r="E2375" s="29">
        <v>1</v>
      </c>
      <c r="F2375" s="17"/>
    </row>
    <row r="2376" spans="1:9" ht="25.5" customHeight="1" x14ac:dyDescent="0.2">
      <c r="A2376" s="27">
        <v>2374</v>
      </c>
      <c r="B2376" s="29" t="s">
        <v>256</v>
      </c>
      <c r="C2376" s="29" t="str">
        <f ca="1">IFERROR(__xludf.DUMMYFUNCTION("GOOGLETRANSLATE(C555,""en"",""hr"")"),"Ravni uvrtni vijčani spoj")</f>
        <v>Ravni uvrtni vijčani spoj</v>
      </c>
      <c r="D2376" s="28" t="s">
        <v>11</v>
      </c>
      <c r="E2376" s="29">
        <v>1</v>
      </c>
      <c r="F2376" s="17"/>
      <c r="I2376" s="4" t="b">
        <f>INT(F2374*100)=(F2374*100)</f>
        <v>1</v>
      </c>
    </row>
    <row r="2377" spans="1:9" ht="25.5" customHeight="1" x14ac:dyDescent="0.2">
      <c r="A2377" s="27">
        <v>2375</v>
      </c>
      <c r="B2377" s="29" t="s">
        <v>1708</v>
      </c>
      <c r="C2377" s="29" t="str">
        <f ca="1">IFERROR(__xludf.DUMMYFUNCTION("GOOGLETRANSLATE(C5932,""en"",""hr"")"),"Ravni uvrtni vijčani spoj")</f>
        <v>Ravni uvrtni vijčani spoj</v>
      </c>
      <c r="D2377" s="28" t="s">
        <v>11</v>
      </c>
      <c r="E2377" s="29">
        <v>1</v>
      </c>
      <c r="F2377" s="17"/>
    </row>
    <row r="2378" spans="1:9" ht="25.5" customHeight="1" x14ac:dyDescent="0.2">
      <c r="A2378" s="27">
        <v>2376</v>
      </c>
      <c r="B2378" s="29" t="s">
        <v>988</v>
      </c>
      <c r="C2378" s="29" t="str">
        <f ca="1">IFERROR(__xludf.DUMMYFUNCTION("GOOGLETRANSLATE(C3165,""en"",""hr"")"),"Ravni uvrtni vijčani spoj")</f>
        <v>Ravni uvrtni vijčani spoj</v>
      </c>
      <c r="D2378" s="28" t="s">
        <v>11</v>
      </c>
      <c r="E2378" s="29">
        <v>1</v>
      </c>
      <c r="F2378" s="17"/>
    </row>
    <row r="2379" spans="1:9" ht="25.5" customHeight="1" x14ac:dyDescent="0.2">
      <c r="A2379" s="27">
        <v>2377</v>
      </c>
      <c r="B2379" s="29" t="s">
        <v>1044</v>
      </c>
      <c r="C2379" s="29" t="str">
        <f ca="1">IFERROR(__xludf.DUMMYFUNCTION("GOOGLETRANSLATE(C3424,""en"",""hr"")"),"Veza")</f>
        <v>Veza</v>
      </c>
      <c r="D2379" s="28" t="s">
        <v>11</v>
      </c>
      <c r="E2379" s="29">
        <v>1</v>
      </c>
      <c r="F2379" s="17"/>
    </row>
    <row r="2380" spans="1:9" ht="25.5" customHeight="1" x14ac:dyDescent="0.2">
      <c r="A2380" s="27">
        <v>2378</v>
      </c>
      <c r="B2380" s="29" t="s">
        <v>1590</v>
      </c>
      <c r="C2380" s="29" t="str">
        <f ca="1">IFERROR(__xludf.DUMMYFUNCTION("GOOGLETRANSLATE(C5401,""en"",""hr"")"),"Veza")</f>
        <v>Veza</v>
      </c>
      <c r="D2380" s="28" t="s">
        <v>11</v>
      </c>
      <c r="E2380" s="29">
        <v>1</v>
      </c>
      <c r="F2380" s="17"/>
      <c r="I2380" s="4" t="b">
        <f>INT(F2378*100)=(F2378*100)</f>
        <v>1</v>
      </c>
    </row>
    <row r="2381" spans="1:9" ht="25.5" customHeight="1" x14ac:dyDescent="0.2">
      <c r="A2381" s="27">
        <v>2379</v>
      </c>
      <c r="B2381" s="29" t="s">
        <v>1709</v>
      </c>
      <c r="C2381" s="29" t="str">
        <f ca="1">IFERROR(__xludf.DUMMYFUNCTION("GOOGLETRANSLATE(C5933,""en"",""hr"")"),"Veza")</f>
        <v>Veza</v>
      </c>
      <c r="D2381" s="28" t="s">
        <v>11</v>
      </c>
      <c r="E2381" s="29">
        <v>1</v>
      </c>
      <c r="F2381" s="17"/>
    </row>
    <row r="2382" spans="1:9" ht="25.5" customHeight="1" x14ac:dyDescent="0.2">
      <c r="A2382" s="27">
        <v>2380</v>
      </c>
      <c r="B2382" s="29" t="s">
        <v>251</v>
      </c>
      <c r="C2382" s="29" t="str">
        <f ca="1">IFERROR(__xludf.DUMMYFUNCTION("GOOGLETRANSLATE(C532,""en"",""hr"")"),"Veza")</f>
        <v>Veza</v>
      </c>
      <c r="D2382" s="28" t="s">
        <v>11</v>
      </c>
      <c r="E2382" s="29">
        <v>1</v>
      </c>
      <c r="F2382" s="17"/>
    </row>
    <row r="2383" spans="1:9" ht="25.5" customHeight="1" x14ac:dyDescent="0.2">
      <c r="A2383" s="27">
        <v>2381</v>
      </c>
      <c r="B2383" s="29" t="s">
        <v>1699</v>
      </c>
      <c r="C2383" s="29" t="str">
        <f ca="1">IFERROR(__xludf.DUMMYFUNCTION("GOOGLETRANSLATE(C5894,""en"",""hr"")"),"Veza")</f>
        <v>Veza</v>
      </c>
      <c r="D2383" s="28" t="s">
        <v>11</v>
      </c>
      <c r="E2383" s="29">
        <v>1</v>
      </c>
      <c r="F2383" s="17"/>
    </row>
    <row r="2384" spans="1:9" ht="25.5" customHeight="1" x14ac:dyDescent="0.2">
      <c r="A2384" s="27">
        <v>2382</v>
      </c>
      <c r="B2384" s="29" t="s">
        <v>685</v>
      </c>
      <c r="C2384" s="29" t="str">
        <f ca="1">IFERROR(__xludf.DUMMYFUNCTION("GOOGLETRANSLATE(C2163,""en"",""hr"")"),"Ravni uvrtni vijčani spoj")</f>
        <v>Ravni uvrtni vijčani spoj</v>
      </c>
      <c r="D2384" s="28" t="s">
        <v>11</v>
      </c>
      <c r="E2384" s="29">
        <v>1</v>
      </c>
      <c r="F2384" s="17"/>
    </row>
    <row r="2385" spans="1:9" ht="25.5" customHeight="1" x14ac:dyDescent="0.2">
      <c r="A2385" s="27">
        <v>2383</v>
      </c>
      <c r="B2385" s="29" t="s">
        <v>1693</v>
      </c>
      <c r="C2385" s="29" t="str">
        <f ca="1">IFERROR(__xludf.DUMMYFUNCTION("GOOGLETRANSLATE(C5873,""en"",""hr"")"),"Veza")</f>
        <v>Veza</v>
      </c>
      <c r="D2385" s="28" t="s">
        <v>11</v>
      </c>
      <c r="E2385" s="29">
        <v>1</v>
      </c>
      <c r="F2385" s="17"/>
    </row>
    <row r="2386" spans="1:9" ht="25.5" customHeight="1" x14ac:dyDescent="0.2">
      <c r="A2386" s="27">
        <v>2384</v>
      </c>
      <c r="B2386" s="29" t="s">
        <v>313</v>
      </c>
      <c r="C2386" s="29" t="str">
        <f ca="1">IFERROR(__xludf.DUMMYFUNCTION("GOOGLETRANSLATE(C693,""en"",""hr"")"),"Veza")</f>
        <v>Veza</v>
      </c>
      <c r="D2386" s="28" t="s">
        <v>11</v>
      </c>
      <c r="E2386" s="29">
        <v>1</v>
      </c>
      <c r="F2386" s="17"/>
    </row>
    <row r="2387" spans="1:9" ht="25.5" customHeight="1" x14ac:dyDescent="0.2">
      <c r="A2387" s="27">
        <v>2385</v>
      </c>
      <c r="B2387" s="29" t="s">
        <v>1380</v>
      </c>
      <c r="C2387" s="29" t="str">
        <f ca="1">IFERROR(__xludf.DUMMYFUNCTION("GOOGLETRANSLATE(C4372,""en"",""hr"")"),"Veza")</f>
        <v>Veza</v>
      </c>
      <c r="D2387" s="28" t="s">
        <v>11</v>
      </c>
      <c r="E2387" s="29">
        <v>1</v>
      </c>
      <c r="F2387" s="17"/>
    </row>
    <row r="2388" spans="1:9" ht="25.5" customHeight="1" x14ac:dyDescent="0.2">
      <c r="A2388" s="27">
        <v>2386</v>
      </c>
      <c r="B2388" s="29" t="s">
        <v>1379</v>
      </c>
      <c r="C2388" s="29" t="str">
        <f ca="1">IFERROR(__xludf.DUMMYFUNCTION("GOOGLETRANSLATE(C4371,""en"",""hr"")"),"Veza")</f>
        <v>Veza</v>
      </c>
      <c r="D2388" s="28" t="s">
        <v>11</v>
      </c>
      <c r="E2388" s="29">
        <v>1</v>
      </c>
      <c r="F2388" s="17"/>
    </row>
    <row r="2389" spans="1:9" ht="25.5" customHeight="1" x14ac:dyDescent="0.2">
      <c r="A2389" s="27">
        <v>2387</v>
      </c>
      <c r="B2389" s="29" t="s">
        <v>831</v>
      </c>
      <c r="C2389" s="29" t="str">
        <f ca="1">IFERROR(__xludf.DUMMYFUNCTION("GOOGLETRANSLATE(C2489,""en"",""hr"")"),"Veza")</f>
        <v>Veza</v>
      </c>
      <c r="D2389" s="28" t="s">
        <v>11</v>
      </c>
      <c r="E2389" s="29">
        <v>1</v>
      </c>
      <c r="F2389" s="17"/>
    </row>
    <row r="2390" spans="1:9" ht="25.5" customHeight="1" x14ac:dyDescent="0.2">
      <c r="A2390" s="27">
        <v>2388</v>
      </c>
      <c r="B2390" s="29" t="s">
        <v>316</v>
      </c>
      <c r="C2390" s="29" t="str">
        <f ca="1">IFERROR(__xludf.DUMMYFUNCTION("GOOGLETRANSLATE(C709,""en"",""hr"")"),"Veza")</f>
        <v>Veza</v>
      </c>
      <c r="D2390" s="28" t="s">
        <v>11</v>
      </c>
      <c r="E2390" s="29">
        <v>1</v>
      </c>
      <c r="F2390" s="17"/>
    </row>
    <row r="2391" spans="1:9" ht="25.5" customHeight="1" x14ac:dyDescent="0.2">
      <c r="A2391" s="27">
        <v>2389</v>
      </c>
      <c r="B2391" s="29" t="s">
        <v>705</v>
      </c>
      <c r="C2391" s="29" t="str">
        <f ca="1">IFERROR(__xludf.DUMMYFUNCTION("GOOGLETRANSLATE(C2227,""en"",""hr"")"),"Montaža pregrade")</f>
        <v>Montaža pregrade</v>
      </c>
      <c r="D2391" s="28" t="s">
        <v>11</v>
      </c>
      <c r="E2391" s="29">
        <v>1</v>
      </c>
      <c r="F2391" s="17"/>
    </row>
    <row r="2392" spans="1:9" ht="25.5" customHeight="1" x14ac:dyDescent="0.2">
      <c r="A2392" s="27">
        <v>2390</v>
      </c>
      <c r="B2392" s="29" t="s">
        <v>1793</v>
      </c>
      <c r="C2392" s="29" t="str">
        <f ca="1">IFERROR(__xludf.DUMMYFUNCTION("GOOGLETRANSLATE(C6230,""en"",""hr"")"),"Montaža pregrade")</f>
        <v>Montaža pregrade</v>
      </c>
      <c r="D2392" s="28" t="s">
        <v>11</v>
      </c>
      <c r="E2392" s="29">
        <v>1</v>
      </c>
      <c r="F2392" s="17"/>
    </row>
    <row r="2393" spans="1:9" ht="25.5" customHeight="1" x14ac:dyDescent="0.2">
      <c r="A2393" s="27">
        <v>2391</v>
      </c>
      <c r="B2393" s="29" t="s">
        <v>239</v>
      </c>
      <c r="C2393" s="29" t="str">
        <f ca="1">IFERROR(__xludf.DUMMYFUNCTION("GOOGLETRANSLATE(C504,""en"",""hr"")"),"Veza")</f>
        <v>Veza</v>
      </c>
      <c r="D2393" s="28" t="s">
        <v>11</v>
      </c>
      <c r="E2393" s="29">
        <v>1</v>
      </c>
      <c r="F2393" s="17"/>
    </row>
    <row r="2394" spans="1:9" ht="25.5" customHeight="1" x14ac:dyDescent="0.2">
      <c r="A2394" s="27">
        <v>2392</v>
      </c>
      <c r="B2394" s="29" t="s">
        <v>292</v>
      </c>
      <c r="C2394" s="29" t="str">
        <f ca="1">IFERROR(__xludf.DUMMYFUNCTION("GOOGLETRANSLATE(C645,""en"",""hr"")"),"Veza")</f>
        <v>Veza</v>
      </c>
      <c r="D2394" s="28" t="s">
        <v>11</v>
      </c>
      <c r="E2394" s="29">
        <v>1</v>
      </c>
      <c r="F2394" s="17"/>
    </row>
    <row r="2395" spans="1:9" ht="25.5" customHeight="1" x14ac:dyDescent="0.2">
      <c r="A2395" s="27">
        <v>2393</v>
      </c>
      <c r="B2395" s="29" t="s">
        <v>1688</v>
      </c>
      <c r="C2395" s="29" t="str">
        <f ca="1">IFERROR(__xludf.DUMMYFUNCTION("GOOGLETRANSLATE(C5849,""en"",""hr"")"),"Veza")</f>
        <v>Veza</v>
      </c>
      <c r="D2395" s="28" t="s">
        <v>11</v>
      </c>
      <c r="E2395" s="29">
        <v>1</v>
      </c>
      <c r="F2395" s="17"/>
    </row>
    <row r="2396" spans="1:9" ht="25.5" customHeight="1" x14ac:dyDescent="0.2">
      <c r="A2396" s="27">
        <v>2394</v>
      </c>
      <c r="B2396" s="29" t="s">
        <v>1405</v>
      </c>
      <c r="C2396" s="29" t="str">
        <f ca="1">IFERROR(__xludf.DUMMYFUNCTION("GOOGLETRANSLATE(C4559,""en"",""hr"")"),"Priključak")</f>
        <v>Priključak</v>
      </c>
      <c r="D2396" s="28" t="s">
        <v>11</v>
      </c>
      <c r="E2396" s="29">
        <v>1</v>
      </c>
      <c r="F2396" s="17"/>
    </row>
    <row r="2397" spans="1:9" ht="25.5" customHeight="1" x14ac:dyDescent="0.2">
      <c r="A2397" s="27">
        <v>2395</v>
      </c>
      <c r="B2397" s="29" t="s">
        <v>698</v>
      </c>
      <c r="C2397" s="29" t="str">
        <f ca="1">IFERROR(__xludf.DUMMYFUNCTION("GOOGLETRANSLATE(C2206,""en"",""hr"")"),"Priključak")</f>
        <v>Priključak</v>
      </c>
      <c r="D2397" s="28" t="s">
        <v>11</v>
      </c>
      <c r="E2397" s="29">
        <v>1</v>
      </c>
      <c r="F2397" s="17"/>
    </row>
    <row r="2398" spans="1:9" ht="25.5" customHeight="1" x14ac:dyDescent="0.2">
      <c r="A2398" s="27">
        <v>2396</v>
      </c>
      <c r="B2398" s="29" t="s">
        <v>768</v>
      </c>
      <c r="C2398" s="29" t="str">
        <f ca="1">IFERROR(__xludf.DUMMYFUNCTION("GOOGLETRANSLATE(C2387,""en"",""hr"")"),"Koljenasti vijčani spoj")</f>
        <v>Koljenasti vijčani spoj</v>
      </c>
      <c r="D2398" s="28" t="s">
        <v>11</v>
      </c>
      <c r="E2398" s="29">
        <v>1</v>
      </c>
      <c r="F2398" s="17"/>
    </row>
    <row r="2399" spans="1:9" ht="25.5" customHeight="1" x14ac:dyDescent="0.2">
      <c r="A2399" s="27">
        <v>2397</v>
      </c>
      <c r="B2399" s="29" t="s">
        <v>1735</v>
      </c>
      <c r="C2399" s="29" t="str">
        <f ca="1">IFERROR(__xludf.DUMMYFUNCTION("GOOGLETRANSLATE(C6032,""en"",""hr"")"),"T-utičnica")</f>
        <v>T-utičnica</v>
      </c>
      <c r="D2399" s="28" t="s">
        <v>11</v>
      </c>
      <c r="E2399" s="29">
        <v>1</v>
      </c>
      <c r="F2399" s="17"/>
      <c r="I2399" s="4" t="b">
        <f>INT(F2397*100)=(F2397*100)</f>
        <v>1</v>
      </c>
    </row>
    <row r="2400" spans="1:9" ht="25.5" customHeight="1" x14ac:dyDescent="0.2">
      <c r="A2400" s="27">
        <v>2398</v>
      </c>
      <c r="B2400" s="29" t="s">
        <v>704</v>
      </c>
      <c r="C2400" s="29" t="str">
        <f ca="1">IFERROR(__xludf.DUMMYFUNCTION("GOOGLETRANSLATE(C2226,""en"",""hr"")"),"Montaža pregrade")</f>
        <v>Montaža pregrade</v>
      </c>
      <c r="D2400" s="28" t="s">
        <v>11</v>
      </c>
      <c r="E2400" s="29">
        <v>1</v>
      </c>
      <c r="F2400" s="17"/>
    </row>
    <row r="2401" spans="1:9" ht="25.5" customHeight="1" x14ac:dyDescent="0.2">
      <c r="A2401" s="27">
        <v>2399</v>
      </c>
      <c r="B2401" s="29" t="s">
        <v>764</v>
      </c>
      <c r="C2401" s="29" t="str">
        <f ca="1">IFERROR(__xludf.DUMMYFUNCTION("GOOGLETRANSLATE(C2380,""en"",""hr"")"),"Koljenasti vijčani spoj")</f>
        <v>Koljenasti vijčani spoj</v>
      </c>
      <c r="D2401" s="28" t="s">
        <v>11</v>
      </c>
      <c r="E2401" s="29">
        <v>1</v>
      </c>
      <c r="F2401" s="17"/>
    </row>
    <row r="2402" spans="1:9" ht="25.5" customHeight="1" x14ac:dyDescent="0.2">
      <c r="A2402" s="27">
        <v>2400</v>
      </c>
      <c r="B2402" s="29" t="s">
        <v>369</v>
      </c>
      <c r="C2402" s="29" t="str">
        <f ca="1">IFERROR(__xludf.DUMMYFUNCTION("GOOGLETRANSLATE(C837,""en"",""hr"")"),"Koljenasti vijčani spoj")</f>
        <v>Koljenasti vijčani spoj</v>
      </c>
      <c r="D2402" s="28" t="s">
        <v>11</v>
      </c>
      <c r="E2402" s="29">
        <v>1</v>
      </c>
      <c r="F2402" s="17"/>
      <c r="I2402" s="4" t="b">
        <f>INT(F2400*100)=(F2400*100)</f>
        <v>1</v>
      </c>
    </row>
    <row r="2403" spans="1:9" ht="25.5" customHeight="1" x14ac:dyDescent="0.2">
      <c r="A2403" s="27">
        <v>2401</v>
      </c>
      <c r="B2403" s="29" t="s">
        <v>642</v>
      </c>
      <c r="C2403" s="29" t="str">
        <f ca="1">IFERROR(__xludf.DUMMYFUNCTION("GOOGLETRANSLATE(C1986,""en"",""hr"")"),"Rotirajuća spojka")</f>
        <v>Rotirajuća spojka</v>
      </c>
      <c r="D2403" s="28" t="s">
        <v>11</v>
      </c>
      <c r="E2403" s="29">
        <v>1</v>
      </c>
      <c r="F2403" s="17"/>
    </row>
    <row r="2404" spans="1:9" ht="25.5" customHeight="1" x14ac:dyDescent="0.2">
      <c r="A2404" s="27">
        <v>2402</v>
      </c>
      <c r="B2404" s="29" t="s">
        <v>306</v>
      </c>
      <c r="C2404" s="29" t="str">
        <f ca="1">IFERROR(__xludf.DUMMYFUNCTION("GOOGLETRANSLATE(C679,""en"",""hr"")"),"Rotirajuća spojka")</f>
        <v>Rotirajuća spojka</v>
      </c>
      <c r="D2404" s="28" t="s">
        <v>11</v>
      </c>
      <c r="E2404" s="29">
        <v>1</v>
      </c>
      <c r="F2404" s="17"/>
    </row>
    <row r="2405" spans="1:9" ht="25.5" customHeight="1" x14ac:dyDescent="0.2">
      <c r="A2405" s="27">
        <v>2403</v>
      </c>
      <c r="B2405" s="29" t="s">
        <v>1253</v>
      </c>
      <c r="C2405" s="29" t="str">
        <f ca="1">IFERROR(__xludf.DUMMYFUNCTION("GOOGLETRANSLATE(C3962,""en"",""hr"")"),"Rotirajuća spojka")</f>
        <v>Rotirajuća spojka</v>
      </c>
      <c r="D2405" s="28" t="s">
        <v>11</v>
      </c>
      <c r="E2405" s="29">
        <v>1</v>
      </c>
      <c r="F2405" s="17"/>
    </row>
    <row r="2406" spans="1:9" ht="25.5" customHeight="1" x14ac:dyDescent="0.2">
      <c r="A2406" s="27">
        <v>2404</v>
      </c>
      <c r="B2406" s="29" t="s">
        <v>1263</v>
      </c>
      <c r="C2406" s="29" t="str">
        <f ca="1">IFERROR(__xludf.DUMMYFUNCTION("GOOGLETRANSLATE(C3989,""en"",""hr"")"),"Rotirajuća spojka")</f>
        <v>Rotirajuća spojka</v>
      </c>
      <c r="D2406" s="28" t="s">
        <v>11</v>
      </c>
      <c r="E2406" s="29">
        <v>1</v>
      </c>
      <c r="F2406" s="17"/>
      <c r="I2406" s="4" t="b">
        <f>INT(F2404*100)=(F2404*100)</f>
        <v>1</v>
      </c>
    </row>
    <row r="2407" spans="1:9" ht="25.5" customHeight="1" x14ac:dyDescent="0.2">
      <c r="A2407" s="27">
        <v>2405</v>
      </c>
      <c r="B2407" s="29" t="s">
        <v>2025</v>
      </c>
      <c r="C2407" s="29" t="str">
        <f ca="1">IFERROR(__xludf.DUMMYFUNCTION("GOOGLETRANSLATE(C6863,""en"",""hr"")"),"Rotirajuća spojka")</f>
        <v>Rotirajuća spojka</v>
      </c>
      <c r="D2407" s="28" t="s">
        <v>11</v>
      </c>
      <c r="E2407" s="29">
        <v>1</v>
      </c>
      <c r="F2407" s="17"/>
    </row>
    <row r="2408" spans="1:9" ht="25.5" customHeight="1" x14ac:dyDescent="0.2">
      <c r="A2408" s="27">
        <v>2406</v>
      </c>
      <c r="B2408" s="29" t="s">
        <v>247</v>
      </c>
      <c r="C2408" s="29" t="str">
        <f ca="1">IFERROR(__xludf.DUMMYFUNCTION("GOOGLETRANSLATE(C517,""en"",""hr"")"),"Priključak W-cijevi")</f>
        <v>Priključak W-cijevi</v>
      </c>
      <c r="D2408" s="28" t="s">
        <v>11</v>
      </c>
      <c r="E2408" s="29">
        <v>1</v>
      </c>
      <c r="F2408" s="17"/>
    </row>
    <row r="2409" spans="1:9" ht="25.5" customHeight="1" x14ac:dyDescent="0.2">
      <c r="A2409" s="27">
        <v>2407</v>
      </c>
      <c r="B2409" s="29" t="s">
        <v>1231</v>
      </c>
      <c r="C2409" s="29" t="str">
        <f ca="1">IFERROR(__xludf.DUMMYFUNCTION("GOOGLETRANSLATE(C3919,""en"",""hr"")"),"Priključak W-cijevi")</f>
        <v>Priključak W-cijevi</v>
      </c>
      <c r="D2409" s="28" t="s">
        <v>11</v>
      </c>
      <c r="E2409" s="29">
        <v>1</v>
      </c>
      <c r="F2409" s="17"/>
    </row>
    <row r="2410" spans="1:9" ht="25.5" customHeight="1" x14ac:dyDescent="0.2">
      <c r="A2410" s="27">
        <v>2408</v>
      </c>
      <c r="B2410" s="29" t="s">
        <v>1340</v>
      </c>
      <c r="C2410" s="29" t="str">
        <f ca="1">IFERROR(__xludf.DUMMYFUNCTION("GOOGLETRANSLATE(C4212,""en"",""hr"")"),"Navojni spoj")</f>
        <v>Navojni spoj</v>
      </c>
      <c r="D2410" s="28" t="s">
        <v>11</v>
      </c>
      <c r="E2410" s="29">
        <v>1</v>
      </c>
      <c r="F2410" s="17"/>
    </row>
    <row r="2411" spans="1:9" ht="25.5" customHeight="1" x14ac:dyDescent="0.2">
      <c r="A2411" s="27">
        <v>2409</v>
      </c>
      <c r="B2411" s="29" t="s">
        <v>829</v>
      </c>
      <c r="C2411" s="29" t="str">
        <f ca="1">IFERROR(__xludf.DUMMYFUNCTION("GOOGLETRANSLATE(C2487,""en"",""hr"")"),"Priključak")</f>
        <v>Priključak</v>
      </c>
      <c r="D2411" s="28" t="s">
        <v>11</v>
      </c>
      <c r="E2411" s="29">
        <v>1</v>
      </c>
      <c r="F2411" s="17"/>
    </row>
    <row r="2412" spans="1:9" ht="25.5" customHeight="1" x14ac:dyDescent="0.2">
      <c r="A2412" s="27">
        <v>2410</v>
      </c>
      <c r="B2412" s="29" t="s">
        <v>1705</v>
      </c>
      <c r="C2412" s="29" t="str">
        <f ca="1">IFERROR(__xludf.DUMMYFUNCTION("GOOGLETRANSLATE(C5927,""en"",""hr"")"),"T-utičnica")</f>
        <v>T-utičnica</v>
      </c>
      <c r="D2412" s="28" t="s">
        <v>11</v>
      </c>
      <c r="E2412" s="29">
        <v>1</v>
      </c>
      <c r="F2412" s="17"/>
    </row>
    <row r="2413" spans="1:9" ht="25.5" customHeight="1" x14ac:dyDescent="0.2">
      <c r="A2413" s="27">
        <v>2411</v>
      </c>
      <c r="B2413" s="29" t="s">
        <v>753</v>
      </c>
      <c r="C2413" s="29" t="str">
        <f ca="1">IFERROR(__xludf.DUMMYFUNCTION("GOOGLETRANSLATE(C2360,""en"",""hr"")"),"T-utičnica")</f>
        <v>T-utičnica</v>
      </c>
      <c r="D2413" s="28" t="s">
        <v>11</v>
      </c>
      <c r="E2413" s="29">
        <v>1</v>
      </c>
      <c r="F2413" s="17"/>
    </row>
    <row r="2414" spans="1:9" ht="25.5" customHeight="1" x14ac:dyDescent="0.2">
      <c r="A2414" s="27">
        <v>2412</v>
      </c>
      <c r="B2414" s="29" t="s">
        <v>689</v>
      </c>
      <c r="C2414" s="29" t="str">
        <f ca="1">IFERROR(__xludf.DUMMYFUNCTION("GOOGLETRANSLATE(C2170,""en"",""hr"")"),"Koljenasti vijčani spoj")</f>
        <v>Koljenasti vijčani spoj</v>
      </c>
      <c r="D2414" s="28" t="s">
        <v>11</v>
      </c>
      <c r="E2414" s="29">
        <v>1</v>
      </c>
      <c r="F2414" s="17"/>
    </row>
    <row r="2415" spans="1:9" ht="25.5" customHeight="1" x14ac:dyDescent="0.2">
      <c r="A2415" s="27">
        <v>2413</v>
      </c>
      <c r="B2415" s="29" t="s">
        <v>480</v>
      </c>
      <c r="C2415" s="29" t="str">
        <f ca="1">IFERROR(__xludf.DUMMYFUNCTION("GOOGLETRANSLATE(C1154,""en"",""hr"")"),"Kutni priključak za spajanje")</f>
        <v>Kutni priključak za spajanje</v>
      </c>
      <c r="D2415" s="28" t="s">
        <v>11</v>
      </c>
      <c r="E2415" s="29">
        <v>1</v>
      </c>
      <c r="F2415" s="17"/>
    </row>
    <row r="2416" spans="1:9" ht="25.5" customHeight="1" x14ac:dyDescent="0.2">
      <c r="A2416" s="27">
        <v>2414</v>
      </c>
      <c r="B2416" s="29" t="s">
        <v>405</v>
      </c>
      <c r="C2416" s="29" t="str">
        <f ca="1">IFERROR(__xludf.DUMMYFUNCTION("GOOGLETRANSLATE(C949,""en"",""hr"")"),"Koljenasti vijčani spoj")</f>
        <v>Koljenasti vijčani spoj</v>
      </c>
      <c r="D2416" s="28" t="s">
        <v>11</v>
      </c>
      <c r="E2416" s="29">
        <v>1</v>
      </c>
      <c r="F2416" s="17"/>
    </row>
    <row r="2417" spans="1:9" ht="25.5" customHeight="1" x14ac:dyDescent="0.2">
      <c r="A2417" s="27">
        <v>2415</v>
      </c>
      <c r="B2417" s="29" t="s">
        <v>1668</v>
      </c>
      <c r="C2417" s="29" t="str">
        <f ca="1">IFERROR(__xludf.DUMMYFUNCTION("GOOGLETRANSLATE(C5762,""en"",""hr"")"),"Koljenasti vijčani spoj")</f>
        <v>Koljenasti vijčani spoj</v>
      </c>
      <c r="D2417" s="28" t="s">
        <v>11</v>
      </c>
      <c r="E2417" s="29">
        <v>1</v>
      </c>
      <c r="F2417" s="17"/>
    </row>
    <row r="2418" spans="1:9" ht="25.5" customHeight="1" x14ac:dyDescent="0.2">
      <c r="A2418" s="27">
        <v>2416</v>
      </c>
      <c r="B2418" s="29" t="s">
        <v>376</v>
      </c>
      <c r="C2418" s="29" t="str">
        <f ca="1">IFERROR(__xludf.DUMMYFUNCTION("GOOGLETRANSLATE(C852,""en"",""hr"")"),"Koljeno prirubnice")</f>
        <v>Koljeno prirubnice</v>
      </c>
      <c r="D2418" s="28" t="s">
        <v>11</v>
      </c>
      <c r="E2418" s="29">
        <v>1</v>
      </c>
      <c r="F2418" s="17"/>
    </row>
    <row r="2419" spans="1:9" ht="25.5" customHeight="1" x14ac:dyDescent="0.2">
      <c r="A2419" s="27">
        <v>2417</v>
      </c>
      <c r="B2419" s="29" t="s">
        <v>1717</v>
      </c>
      <c r="C2419" s="29" t="str">
        <f ca="1">IFERROR(__xludf.DUMMYFUNCTION("GOOGLETRANSLATE(C5959,""en"",""hr"")"),"Koljenasti vijčani spoj")</f>
        <v>Koljenasti vijčani spoj</v>
      </c>
      <c r="D2419" s="28" t="s">
        <v>11</v>
      </c>
      <c r="E2419" s="29">
        <v>1</v>
      </c>
      <c r="F2419" s="17"/>
    </row>
    <row r="2420" spans="1:9" ht="25.5" customHeight="1" x14ac:dyDescent="0.2">
      <c r="A2420" s="27">
        <v>2418</v>
      </c>
      <c r="B2420" s="29" t="s">
        <v>1681</v>
      </c>
      <c r="C2420" s="29" t="str">
        <f ca="1">IFERROR(__xludf.DUMMYFUNCTION("GOOGLETRANSLATE(C5810,""en"",""hr"")"),"Srednja mlaznica")</f>
        <v>Srednja mlaznica</v>
      </c>
      <c r="D2420" s="28" t="s">
        <v>11</v>
      </c>
      <c r="E2420" s="29">
        <v>1</v>
      </c>
      <c r="F2420" s="17"/>
    </row>
    <row r="2421" spans="1:9" ht="25.5" customHeight="1" x14ac:dyDescent="0.2">
      <c r="A2421" s="27">
        <v>2419</v>
      </c>
      <c r="B2421" s="29" t="s">
        <v>697</v>
      </c>
      <c r="C2421" s="29" t="str">
        <f ca="1">IFERROR(__xludf.DUMMYFUNCTION("GOOGLETRANSLATE(C2205,""en"",""hr"")"),"Bradavica")</f>
        <v>Bradavica</v>
      </c>
      <c r="D2421" s="28" t="s">
        <v>11</v>
      </c>
      <c r="E2421" s="29">
        <v>1</v>
      </c>
      <c r="F2421" s="17"/>
    </row>
    <row r="2422" spans="1:9" ht="25.5" customHeight="1" x14ac:dyDescent="0.2">
      <c r="A2422" s="27">
        <v>2420</v>
      </c>
      <c r="B2422" s="29" t="s">
        <v>1702</v>
      </c>
      <c r="C2422" s="29" t="str">
        <f ca="1">IFERROR(__xludf.DUMMYFUNCTION("GOOGLETRANSLATE(C5909,""en"",""hr"")"),"Veza")</f>
        <v>Veza</v>
      </c>
      <c r="D2422" s="28" t="s">
        <v>11</v>
      </c>
      <c r="E2422" s="29">
        <v>1</v>
      </c>
      <c r="F2422" s="17"/>
    </row>
    <row r="2423" spans="1:9" ht="25.5" customHeight="1" x14ac:dyDescent="0.2">
      <c r="A2423" s="27">
        <v>2421</v>
      </c>
      <c r="B2423" s="29" t="s">
        <v>1695</v>
      </c>
      <c r="C2423" s="29" t="str">
        <f ca="1">IFERROR(__xludf.DUMMYFUNCTION("GOOGLETRANSLATE(C5875,""en"",""hr"")"),"Veza")</f>
        <v>Veza</v>
      </c>
      <c r="D2423" s="28" t="s">
        <v>11</v>
      </c>
      <c r="E2423" s="29">
        <v>1</v>
      </c>
      <c r="F2423" s="17"/>
    </row>
    <row r="2424" spans="1:9" ht="25.5" customHeight="1" x14ac:dyDescent="0.2">
      <c r="A2424" s="27">
        <v>2422</v>
      </c>
      <c r="B2424" s="29" t="s">
        <v>1687</v>
      </c>
      <c r="C2424" s="29" t="str">
        <f ca="1">IFERROR(__xludf.DUMMYFUNCTION("GOOGLETRANSLATE(C5844,""en"",""hr"")"),"Priključak")</f>
        <v>Priključak</v>
      </c>
      <c r="D2424" s="28" t="s">
        <v>11</v>
      </c>
      <c r="E2424" s="29">
        <v>1</v>
      </c>
      <c r="F2424" s="17"/>
      <c r="I2424" s="4" t="b">
        <f>INT(F2422*100)=(F2422*100)</f>
        <v>1</v>
      </c>
    </row>
    <row r="2425" spans="1:9" ht="25.5" customHeight="1" x14ac:dyDescent="0.2">
      <c r="A2425" s="27">
        <v>2423</v>
      </c>
      <c r="B2425" s="29" t="s">
        <v>1737</v>
      </c>
      <c r="C2425" s="29" t="str">
        <f ca="1">IFERROR(__xludf.DUMMYFUNCTION("GOOGLETRANSLATE(C6037,""en"",""hr"")"),"Veza")</f>
        <v>Veza</v>
      </c>
      <c r="D2425" s="28" t="s">
        <v>11</v>
      </c>
      <c r="E2425" s="29">
        <v>1</v>
      </c>
      <c r="F2425" s="17"/>
    </row>
    <row r="2426" spans="1:9" ht="25.5" customHeight="1" x14ac:dyDescent="0.2">
      <c r="A2426" s="27">
        <v>2424</v>
      </c>
      <c r="B2426" s="29" t="s">
        <v>565</v>
      </c>
      <c r="C2426" s="29" t="str">
        <f ca="1">IFERROR(__xludf.DUMMYFUNCTION("GOOGLETRANSLATE(C1581,""en"",""hr"")"),"Okov-t")</f>
        <v>Okov-t</v>
      </c>
      <c r="D2426" s="28" t="s">
        <v>11</v>
      </c>
      <c r="E2426" s="29">
        <v>1</v>
      </c>
      <c r="F2426" s="17"/>
    </row>
    <row r="2427" spans="1:9" ht="25.5" customHeight="1" x14ac:dyDescent="0.2">
      <c r="A2427" s="27">
        <v>2425</v>
      </c>
      <c r="B2427" s="29" t="s">
        <v>1240</v>
      </c>
      <c r="C2427" s="29" t="str">
        <f ca="1">IFERROR(__xludf.DUMMYFUNCTION("GOOGLETRANSLATE(C3934,""en"",""hr"")"),"Priključak za zaključavanje")</f>
        <v>Priključak za zaključavanje</v>
      </c>
      <c r="D2427" s="28" t="s">
        <v>11</v>
      </c>
      <c r="E2427" s="29">
        <v>1</v>
      </c>
      <c r="F2427" s="17"/>
      <c r="I2427" s="4" t="b">
        <f>INT(F2425*100)=(F2425*100)</f>
        <v>1</v>
      </c>
    </row>
    <row r="2428" spans="1:9" ht="25.5" customHeight="1" x14ac:dyDescent="0.2">
      <c r="A2428" s="27">
        <v>2426</v>
      </c>
      <c r="B2428" s="29" t="s">
        <v>1742</v>
      </c>
      <c r="C2428" s="29" t="str">
        <f ca="1">IFERROR(__xludf.DUMMYFUNCTION("GOOGLETRANSLATE(C6088,""en"",""hr"")"),"Konusna brava")</f>
        <v>Konusna brava</v>
      </c>
      <c r="D2428" s="28" t="s">
        <v>11</v>
      </c>
      <c r="E2428" s="29">
        <v>1</v>
      </c>
      <c r="F2428" s="17"/>
    </row>
    <row r="2429" spans="1:9" ht="25.5" customHeight="1" x14ac:dyDescent="0.2">
      <c r="A2429" s="27">
        <v>2427</v>
      </c>
      <c r="B2429" s="29" t="s">
        <v>356</v>
      </c>
      <c r="C2429" s="29" t="str">
        <f ca="1">IFERROR(__xludf.DUMMYFUNCTION("GOOGLETRANSLATE(C813,""en"",""hr"")"),"Čep za zaključavanje")</f>
        <v>Čep za zaključavanje</v>
      </c>
      <c r="D2429" s="28" t="s">
        <v>11</v>
      </c>
      <c r="E2429" s="29">
        <v>1</v>
      </c>
      <c r="F2429" s="17"/>
    </row>
    <row r="2430" spans="1:9" ht="25.5" customHeight="1" x14ac:dyDescent="0.2">
      <c r="A2430" s="27">
        <v>2428</v>
      </c>
      <c r="B2430" s="29" t="s">
        <v>996</v>
      </c>
      <c r="C2430" s="29" t="str">
        <f ca="1">IFERROR(__xludf.DUMMYFUNCTION("GOOGLETRANSLATE(C3180,""en"",""hr"")"),"Čep za zaključavanje")</f>
        <v>Čep za zaključavanje</v>
      </c>
      <c r="D2430" s="28" t="s">
        <v>11</v>
      </c>
      <c r="E2430" s="29">
        <v>1</v>
      </c>
      <c r="F2430" s="17"/>
    </row>
    <row r="2431" spans="1:9" ht="25.5" customHeight="1" x14ac:dyDescent="0.2">
      <c r="A2431" s="27">
        <v>2429</v>
      </c>
      <c r="B2431" s="29" t="s">
        <v>1155</v>
      </c>
      <c r="C2431" s="29" t="str">
        <f ca="1">IFERROR(__xludf.DUMMYFUNCTION("GOOGLETRANSLATE(C3754,""en"",""hr"")"),"Čep za zaključavanje")</f>
        <v>Čep za zaključavanje</v>
      </c>
      <c r="D2431" s="28" t="s">
        <v>11</v>
      </c>
      <c r="E2431" s="29">
        <v>1</v>
      </c>
      <c r="F2431" s="17"/>
      <c r="I2431" s="4" t="b">
        <f>INT(F2429*100)=(F2429*100)</f>
        <v>1</v>
      </c>
    </row>
    <row r="2432" spans="1:9" ht="25.5" customHeight="1" x14ac:dyDescent="0.2">
      <c r="A2432" s="27">
        <v>2430</v>
      </c>
      <c r="B2432" s="29" t="s">
        <v>293</v>
      </c>
      <c r="C2432" s="29" t="str">
        <f ca="1">IFERROR(__xludf.DUMMYFUNCTION("GOOGLETRANSLATE(C647,""en"",""hr"")"),"Čep za zaključavanje")</f>
        <v>Čep za zaključavanje</v>
      </c>
      <c r="D2432" s="28" t="s">
        <v>11</v>
      </c>
      <c r="E2432" s="29">
        <v>1</v>
      </c>
      <c r="F2432" s="17"/>
    </row>
    <row r="2433" spans="1:6" ht="25.5" customHeight="1" x14ac:dyDescent="0.2">
      <c r="A2433" s="27">
        <v>2431</v>
      </c>
      <c r="B2433" s="29" t="s">
        <v>341</v>
      </c>
      <c r="C2433" s="29" t="str">
        <f ca="1">IFERROR(__xludf.DUMMYFUNCTION("GOOGLETRANSLATE(C763,""en"",""hr"")"),"Čep za zaključavanje")</f>
        <v>Čep za zaključavanje</v>
      </c>
      <c r="D2433" s="28" t="s">
        <v>11</v>
      </c>
      <c r="E2433" s="29">
        <v>1</v>
      </c>
      <c r="F2433" s="17"/>
    </row>
    <row r="2434" spans="1:6" ht="25.5" customHeight="1" x14ac:dyDescent="0.2">
      <c r="A2434" s="27">
        <v>2432</v>
      </c>
      <c r="B2434" s="29" t="s">
        <v>1089</v>
      </c>
      <c r="C2434" s="29" t="str">
        <f ca="1">IFERROR(__xludf.DUMMYFUNCTION("GOOGLETRANSLATE(C3511,""en"",""hr"")"),"Čep za zaključavanje")</f>
        <v>Čep za zaključavanje</v>
      </c>
      <c r="D2434" s="28" t="s">
        <v>11</v>
      </c>
      <c r="E2434" s="29">
        <v>1</v>
      </c>
      <c r="F2434" s="17"/>
    </row>
    <row r="2435" spans="1:6" ht="25.5" customHeight="1" x14ac:dyDescent="0.2">
      <c r="A2435" s="27">
        <v>2433</v>
      </c>
      <c r="B2435" s="29" t="s">
        <v>1090</v>
      </c>
      <c r="C2435" s="29" t="str">
        <f ca="1">IFERROR(__xludf.DUMMYFUNCTION("GOOGLETRANSLATE(C3513,""en"",""hr"")"),"Čep za zaključavanje")</f>
        <v>Čep za zaključavanje</v>
      </c>
      <c r="D2435" s="28" t="s">
        <v>11</v>
      </c>
      <c r="E2435" s="29">
        <v>1</v>
      </c>
      <c r="F2435" s="17"/>
    </row>
    <row r="2436" spans="1:6" ht="25.5" customHeight="1" x14ac:dyDescent="0.2">
      <c r="A2436" s="27">
        <v>2434</v>
      </c>
      <c r="B2436" s="29" t="s">
        <v>1666</v>
      </c>
      <c r="C2436" s="29" t="str">
        <f ca="1">IFERROR(__xludf.DUMMYFUNCTION("GOOGLETRANSLATE(C5748,""en"",""hr"")"),"Čep za zaključavanje")</f>
        <v>Čep za zaključavanje</v>
      </c>
      <c r="D2436" s="28" t="s">
        <v>11</v>
      </c>
      <c r="E2436" s="29">
        <v>1</v>
      </c>
      <c r="F2436" s="17"/>
    </row>
    <row r="2437" spans="1:6" ht="25.5" customHeight="1" x14ac:dyDescent="0.2">
      <c r="A2437" s="27">
        <v>2435</v>
      </c>
      <c r="B2437" s="29" t="s">
        <v>1797</v>
      </c>
      <c r="C2437" s="29" t="str">
        <f ca="1">IFERROR(__xludf.DUMMYFUNCTION("GOOGLETRANSLATE(C6247,""en"",""hr"")"),"Prsten u boji ženski plavi")</f>
        <v>Prsten u boji ženski plavi</v>
      </c>
      <c r="D2437" s="28" t="s">
        <v>11</v>
      </c>
      <c r="E2437" s="29">
        <v>1</v>
      </c>
      <c r="F2437" s="17"/>
    </row>
    <row r="2438" spans="1:6" ht="25.5" customHeight="1" x14ac:dyDescent="0.2">
      <c r="A2438" s="27">
        <v>2436</v>
      </c>
      <c r="B2438" s="29" t="s">
        <v>1799</v>
      </c>
      <c r="C2438" s="29" t="str">
        <f ca="1">IFERROR(__xludf.DUMMYFUNCTION("GOOGLETRANSLATE(C6250,""en"",""hr"")"),"Prsten u boji ženski crveni")</f>
        <v>Prsten u boji ženski crveni</v>
      </c>
      <c r="D2438" s="28" t="s">
        <v>11</v>
      </c>
      <c r="E2438" s="29">
        <v>1</v>
      </c>
      <c r="F2438" s="17"/>
    </row>
    <row r="2439" spans="1:6" ht="25.5" customHeight="1" x14ac:dyDescent="0.2">
      <c r="A2439" s="27">
        <v>2437</v>
      </c>
      <c r="B2439" s="29" t="s">
        <v>1420</v>
      </c>
      <c r="C2439" s="29" t="str">
        <f ca="1">IFERROR(__xludf.DUMMYFUNCTION("GOOGLETRANSLATE(C4619,""en"",""hr"")"),"Obojeni prsten ženski žuti")</f>
        <v>Obojeni prsten ženski žuti</v>
      </c>
      <c r="D2439" s="28" t="s">
        <v>11</v>
      </c>
      <c r="E2439" s="29">
        <v>1</v>
      </c>
      <c r="F2439" s="17"/>
    </row>
    <row r="2440" spans="1:6" ht="25.5" customHeight="1" x14ac:dyDescent="0.2">
      <c r="A2440" s="27">
        <v>2438</v>
      </c>
      <c r="B2440" s="29" t="s">
        <v>1421</v>
      </c>
      <c r="C2440" s="29" t="str">
        <f ca="1">IFERROR(__xludf.DUMMYFUNCTION("GOOGLETRANSLATE(C4620,""en"",""hr"")"),"Ženski prsten u zelenoj boji")</f>
        <v>Ženski prsten u zelenoj boji</v>
      </c>
      <c r="D2440" s="28" t="s">
        <v>11</v>
      </c>
      <c r="E2440" s="29">
        <v>1</v>
      </c>
      <c r="F2440" s="17"/>
    </row>
    <row r="2441" spans="1:6" ht="25.5" customHeight="1" x14ac:dyDescent="0.2">
      <c r="A2441" s="27">
        <v>2439</v>
      </c>
      <c r="B2441" s="29" t="s">
        <v>1798</v>
      </c>
      <c r="C2441" s="29" t="str">
        <f ca="1">IFERROR(__xludf.DUMMYFUNCTION("GOOGLETRANSLATE(C6249,""en"",""hr"")"),"Prsten u boji ženski crni")</f>
        <v>Prsten u boji ženski crni</v>
      </c>
      <c r="D2441" s="28" t="s">
        <v>11</v>
      </c>
      <c r="E2441" s="29">
        <v>1</v>
      </c>
      <c r="F2441" s="17"/>
    </row>
    <row r="2442" spans="1:6" ht="25.5" customHeight="1" x14ac:dyDescent="0.2">
      <c r="A2442" s="27">
        <v>2440</v>
      </c>
      <c r="B2442" s="29" t="s">
        <v>1796</v>
      </c>
      <c r="C2442" s="29" t="str">
        <f ca="1">IFERROR(__xludf.DUMMYFUNCTION("GOOGLETRANSLATE(C6246,""en"",""hr"")"),"Prsten u boji muški plavi")</f>
        <v>Prsten u boji muški plavi</v>
      </c>
      <c r="D2442" s="28" t="s">
        <v>11</v>
      </c>
      <c r="E2442" s="29">
        <v>1</v>
      </c>
      <c r="F2442" s="17"/>
    </row>
    <row r="2443" spans="1:6" ht="25.5" customHeight="1" x14ac:dyDescent="0.2">
      <c r="A2443" s="27">
        <v>2441</v>
      </c>
      <c r="B2443" s="29" t="s">
        <v>1795</v>
      </c>
      <c r="C2443" s="29" t="str">
        <f ca="1">IFERROR(__xludf.DUMMYFUNCTION("GOOGLETRANSLATE(C6245,""en"",""hr"")"),"Obojeni prsten muški crveni")</f>
        <v>Obojeni prsten muški crveni</v>
      </c>
      <c r="D2443" s="28" t="s">
        <v>11</v>
      </c>
      <c r="E2443" s="29">
        <v>1</v>
      </c>
      <c r="F2443" s="17"/>
    </row>
    <row r="2444" spans="1:6" ht="25.5" customHeight="1" x14ac:dyDescent="0.2">
      <c r="A2444" s="27">
        <v>2442</v>
      </c>
      <c r="B2444" s="29" t="s">
        <v>1418</v>
      </c>
      <c r="C2444" s="29" t="str">
        <f ca="1">IFERROR(__xludf.DUMMYFUNCTION("GOOGLETRANSLATE(C4612,""en"",""hr"")"),"Obojeni prsten muški žuti")</f>
        <v>Obojeni prsten muški žuti</v>
      </c>
      <c r="D2444" s="28" t="s">
        <v>11</v>
      </c>
      <c r="E2444" s="29">
        <v>1</v>
      </c>
      <c r="F2444" s="17"/>
    </row>
    <row r="2445" spans="1:6" ht="25.5" customHeight="1" x14ac:dyDescent="0.2">
      <c r="A2445" s="27">
        <v>2443</v>
      </c>
      <c r="B2445" s="29" t="s">
        <v>1419</v>
      </c>
      <c r="C2445" s="29" t="str">
        <f ca="1">IFERROR(__xludf.DUMMYFUNCTION("GOOGLETRANSLATE(C4617,""en"",""hr"")"),"Muški prsten u zelenoj boji")</f>
        <v>Muški prsten u zelenoj boji</v>
      </c>
      <c r="D2445" s="28" t="s">
        <v>11</v>
      </c>
      <c r="E2445" s="29">
        <v>1</v>
      </c>
      <c r="F2445" s="17"/>
    </row>
    <row r="2446" spans="1:6" ht="25.5" customHeight="1" x14ac:dyDescent="0.2">
      <c r="A2446" s="27">
        <v>2444</v>
      </c>
      <c r="B2446" s="29" t="s">
        <v>1800</v>
      </c>
      <c r="C2446" s="29" t="str">
        <f ca="1">IFERROR(__xludf.DUMMYFUNCTION("GOOGLETRANSLATE(C6252,""en"",""hr"")"),"Obojeni prsten muški crni")</f>
        <v>Obojeni prsten muški crni</v>
      </c>
      <c r="D2446" s="28" t="s">
        <v>11</v>
      </c>
      <c r="E2446" s="29">
        <v>1</v>
      </c>
      <c r="F2446" s="17"/>
    </row>
    <row r="2447" spans="1:6" ht="25.5" customHeight="1" x14ac:dyDescent="0.2">
      <c r="A2447" s="27">
        <v>2445</v>
      </c>
      <c r="B2447" s="29" t="s">
        <v>1424</v>
      </c>
      <c r="C2447" s="29" t="str">
        <f ca="1">IFERROR(__xludf.DUMMYFUNCTION("GOOGLETRANSLATE(C4627,""en"",""hr"")"),"Obojeni prsten muški žuti")</f>
        <v>Obojeni prsten muški žuti</v>
      </c>
      <c r="D2447" s="28" t="s">
        <v>11</v>
      </c>
      <c r="E2447" s="29">
        <v>1</v>
      </c>
      <c r="F2447" s="17"/>
    </row>
    <row r="2448" spans="1:6" ht="25.5" customHeight="1" x14ac:dyDescent="0.2">
      <c r="A2448" s="27">
        <v>2446</v>
      </c>
      <c r="B2448" s="29" t="s">
        <v>1423</v>
      </c>
      <c r="C2448" s="29" t="str">
        <f ca="1">IFERROR(__xludf.DUMMYFUNCTION("GOOGLETRANSLATE(C4625,""en"",""hr"")"),"Muški prsten u zelenoj boji")</f>
        <v>Muški prsten u zelenoj boji</v>
      </c>
      <c r="D2448" s="28" t="s">
        <v>11</v>
      </c>
      <c r="E2448" s="29">
        <v>1</v>
      </c>
      <c r="F2448" s="17"/>
    </row>
    <row r="2449" spans="1:9" ht="25.5" customHeight="1" x14ac:dyDescent="0.2">
      <c r="A2449" s="27">
        <v>2447</v>
      </c>
      <c r="B2449" s="29" t="s">
        <v>1429</v>
      </c>
      <c r="C2449" s="29" t="str">
        <f ca="1">IFERROR(__xludf.DUMMYFUNCTION("GOOGLETRANSLATE(C4642,""en"",""hr"")"),"Obojeni prsten ženski žuti")</f>
        <v>Obojeni prsten ženski žuti</v>
      </c>
      <c r="D2449" s="28" t="s">
        <v>11</v>
      </c>
      <c r="E2449" s="29">
        <v>1</v>
      </c>
      <c r="F2449" s="17"/>
    </row>
    <row r="2450" spans="1:9" ht="25.5" customHeight="1" x14ac:dyDescent="0.2">
      <c r="A2450" s="27">
        <v>2448</v>
      </c>
      <c r="B2450" s="29" t="s">
        <v>1430</v>
      </c>
      <c r="C2450" s="29" t="str">
        <f ca="1">IFERROR(__xludf.DUMMYFUNCTION("GOOGLETRANSLATE(C4645,""en"",""hr"")"),"Ženski prsten u zelenoj boji")</f>
        <v>Ženski prsten u zelenoj boji</v>
      </c>
      <c r="D2450" s="28" t="s">
        <v>11</v>
      </c>
      <c r="E2450" s="29">
        <v>1</v>
      </c>
      <c r="F2450" s="17"/>
      <c r="I2450" s="4" t="b">
        <f>INT(F2448*100)=(F2448*100)</f>
        <v>1</v>
      </c>
    </row>
    <row r="2451" spans="1:9" ht="25.5" customHeight="1" x14ac:dyDescent="0.2">
      <c r="A2451" s="27">
        <v>2449</v>
      </c>
      <c r="B2451" s="29" t="s">
        <v>1307</v>
      </c>
      <c r="C2451" s="29" t="str">
        <f ca="1">IFERROR(__xludf.DUMMYFUNCTION("GOOGLETRANSLATE(C4125,""en"",""hr"")"),"Okretni zglob")</f>
        <v>Okretni zglob</v>
      </c>
      <c r="D2451" s="28" t="s">
        <v>11</v>
      </c>
      <c r="E2451" s="29">
        <v>1</v>
      </c>
      <c r="F2451" s="17"/>
    </row>
    <row r="2452" spans="1:9" ht="25.5" customHeight="1" x14ac:dyDescent="0.2">
      <c r="A2452" s="27">
        <v>2450</v>
      </c>
      <c r="B2452" s="29" t="s">
        <v>1164</v>
      </c>
      <c r="C2452" s="29" t="str">
        <f ca="1">IFERROR(__xludf.DUMMYFUNCTION("GOOGLETRANSLATE(C3771,""en"",""hr"")"),"Rotirajuća spojka")</f>
        <v>Rotirajuća spojka</v>
      </c>
      <c r="D2452" s="28" t="s">
        <v>11</v>
      </c>
      <c r="E2452" s="29">
        <v>1</v>
      </c>
      <c r="F2452" s="17"/>
    </row>
    <row r="2453" spans="1:9" ht="25.5" customHeight="1" x14ac:dyDescent="0.2">
      <c r="A2453" s="27">
        <v>2451</v>
      </c>
      <c r="B2453" s="29" t="s">
        <v>1373</v>
      </c>
      <c r="C2453" s="29" t="str">
        <f ca="1">IFERROR(__xludf.DUMMYFUNCTION("GOOGLETRANSLATE(C4353,""en"",""hr"")"),"T-rotirajuća spojka")</f>
        <v>T-rotirajuća spojka</v>
      </c>
      <c r="D2453" s="28" t="s">
        <v>11</v>
      </c>
      <c r="E2453" s="29">
        <v>1</v>
      </c>
      <c r="F2453" s="17"/>
      <c r="I2453" s="4" t="b">
        <f>INT(F2451*100)=(F2451*100)</f>
        <v>1</v>
      </c>
    </row>
    <row r="2454" spans="1:9" ht="25.5" customHeight="1" x14ac:dyDescent="0.2">
      <c r="A2454" s="27">
        <v>2452</v>
      </c>
      <c r="B2454" s="29" t="s">
        <v>1163</v>
      </c>
      <c r="C2454" s="29" t="str">
        <f ca="1">IFERROR(__xludf.DUMMYFUNCTION("GOOGLETRANSLATE(C3770,""en"",""hr"")"),"Veza")</f>
        <v>Veza</v>
      </c>
      <c r="D2454" s="28" t="s">
        <v>11</v>
      </c>
      <c r="E2454" s="29">
        <v>1</v>
      </c>
      <c r="F2454" s="17"/>
    </row>
    <row r="2455" spans="1:9" ht="25.5" customHeight="1" x14ac:dyDescent="0.2">
      <c r="A2455" s="27">
        <v>2453</v>
      </c>
      <c r="B2455" s="29" t="s">
        <v>871</v>
      </c>
      <c r="C2455" s="29" t="str">
        <f ca="1">IFERROR(__xludf.DUMMYFUNCTION("GOOGLETRANSLATE(C2551,""en"",""hr"")"),"Veza")</f>
        <v>Veza</v>
      </c>
      <c r="D2455" s="28" t="s">
        <v>11</v>
      </c>
      <c r="E2455" s="29">
        <v>1</v>
      </c>
      <c r="F2455" s="17"/>
    </row>
    <row r="2456" spans="1:9" ht="25.5" customHeight="1" x14ac:dyDescent="0.2">
      <c r="A2456" s="27">
        <v>2454</v>
      </c>
      <c r="B2456" s="29" t="s">
        <v>1339</v>
      </c>
      <c r="C2456" s="29" t="str">
        <f ca="1">IFERROR(__xludf.DUMMYFUNCTION("GOOGLETRANSLATE(C4209,""en"",""hr"")"),"Veza")</f>
        <v>Veza</v>
      </c>
      <c r="D2456" s="28" t="s">
        <v>11</v>
      </c>
      <c r="E2456" s="29">
        <v>1</v>
      </c>
      <c r="F2456" s="17"/>
    </row>
    <row r="2457" spans="1:9" ht="25.5" customHeight="1" x14ac:dyDescent="0.2">
      <c r="A2457" s="27">
        <v>2455</v>
      </c>
      <c r="B2457" s="29" t="s">
        <v>490</v>
      </c>
      <c r="C2457" s="29" t="str">
        <f ca="1">IFERROR(__xludf.DUMMYFUNCTION("GOOGLETRANSLATE(C1189,""en"",""hr"")"),"Priključak")</f>
        <v>Priključak</v>
      </c>
      <c r="D2457" s="28" t="s">
        <v>11</v>
      </c>
      <c r="E2457" s="29">
        <v>1</v>
      </c>
      <c r="F2457" s="17"/>
      <c r="I2457" s="4" t="b">
        <f>INT(F2455*100)=(F2455*100)</f>
        <v>1</v>
      </c>
    </row>
    <row r="2458" spans="1:9" ht="25.5" customHeight="1" x14ac:dyDescent="0.2">
      <c r="A2458" s="27">
        <v>2456</v>
      </c>
      <c r="B2458" s="29" t="s">
        <v>43</v>
      </c>
      <c r="C2458" s="29" t="str">
        <f ca="1">IFERROR(__xludf.DUMMYFUNCTION("GOOGLETRANSLATE(C69,""en"",""hr"")"),"Set kočionih obloga")</f>
        <v>Set kočionih obloga</v>
      </c>
      <c r="D2458" s="28" t="s">
        <v>11</v>
      </c>
      <c r="E2458" s="29">
        <v>1</v>
      </c>
      <c r="F2458" s="17"/>
    </row>
    <row r="2459" spans="1:9" ht="25.5" customHeight="1" x14ac:dyDescent="0.2">
      <c r="A2459" s="27">
        <v>2457</v>
      </c>
      <c r="B2459" s="29" t="s">
        <v>537</v>
      </c>
      <c r="C2459" s="29" t="str">
        <f ca="1">IFERROR(__xludf.DUMMYFUNCTION("GOOGLETRANSLATE(C1404,""en"",""hr"")"),"Okrugli tampon")</f>
        <v>Okrugli tampon</v>
      </c>
      <c r="D2459" s="28" t="s">
        <v>11</v>
      </c>
      <c r="E2459" s="29">
        <v>1</v>
      </c>
      <c r="F2459" s="17"/>
    </row>
    <row r="2460" spans="1:9" ht="25.5" customHeight="1" x14ac:dyDescent="0.2">
      <c r="A2460" s="27">
        <v>2458</v>
      </c>
      <c r="B2460" s="29" t="s">
        <v>711</v>
      </c>
      <c r="C2460" s="29" t="str">
        <f ca="1">IFERROR(__xludf.DUMMYFUNCTION("GOOGLETRANSLATE(C2247,""en"",""hr"")"),"Okrugli tampon")</f>
        <v>Okrugli tampon</v>
      </c>
      <c r="D2460" s="28" t="s">
        <v>11</v>
      </c>
      <c r="E2460" s="29">
        <v>1</v>
      </c>
      <c r="F2460" s="17"/>
    </row>
    <row r="2461" spans="1:9" ht="25.5" customHeight="1" x14ac:dyDescent="0.2">
      <c r="A2461" s="27">
        <v>2459</v>
      </c>
      <c r="B2461" s="29" t="s">
        <v>919</v>
      </c>
      <c r="C2461" s="29" t="str">
        <f ca="1">IFERROR(__xludf.DUMMYFUNCTION("GOOGLETRANSLATE(C2758,""en"",""hr"")"),"Okrugli tampon")</f>
        <v>Okrugli tampon</v>
      </c>
      <c r="D2461" s="28" t="s">
        <v>11</v>
      </c>
      <c r="E2461" s="29">
        <v>1</v>
      </c>
      <c r="F2461" s="17"/>
    </row>
    <row r="2462" spans="1:9" ht="25.5" customHeight="1" x14ac:dyDescent="0.2">
      <c r="A2462" s="27">
        <v>2460</v>
      </c>
      <c r="B2462" s="29" t="s">
        <v>833</v>
      </c>
      <c r="C2462" s="29" t="str">
        <f ca="1">IFERROR(__xludf.DUMMYFUNCTION("GOOGLETRANSLATE(C2493,""en"",""hr"")"),"Pufer")</f>
        <v>Pufer</v>
      </c>
      <c r="D2462" s="28" t="s">
        <v>11</v>
      </c>
      <c r="E2462" s="29">
        <v>1</v>
      </c>
      <c r="F2462" s="17"/>
    </row>
    <row r="2463" spans="1:9" ht="25.5" customHeight="1" x14ac:dyDescent="0.2">
      <c r="A2463" s="27">
        <v>2461</v>
      </c>
      <c r="B2463" s="29" t="s">
        <v>1434</v>
      </c>
      <c r="C2463" s="29" t="str">
        <f ca="1">IFERROR(__xludf.DUMMYFUNCTION("GOOGLETRANSLATE(C4659,""en"",""hr"")"),"Gumeni tampon")</f>
        <v>Gumeni tampon</v>
      </c>
      <c r="D2463" s="28" t="s">
        <v>11</v>
      </c>
      <c r="E2463" s="29">
        <v>1</v>
      </c>
      <c r="F2463" s="17"/>
    </row>
    <row r="2464" spans="1:9" ht="25.5" customHeight="1" x14ac:dyDescent="0.2">
      <c r="A2464" s="27">
        <v>2462</v>
      </c>
      <c r="B2464" s="29" t="s">
        <v>1032</v>
      </c>
      <c r="C2464" s="29" t="str">
        <f ca="1">IFERROR(__xludf.DUMMYFUNCTION("GOOGLETRANSLATE(C3359,""en"",""hr"")"),"Stop guma")</f>
        <v>Stop guma</v>
      </c>
      <c r="D2464" s="28" t="s">
        <v>11</v>
      </c>
      <c r="E2464" s="29">
        <v>1</v>
      </c>
      <c r="F2464" s="17"/>
    </row>
    <row r="2465" spans="1:9" ht="25.5" customHeight="1" x14ac:dyDescent="0.2">
      <c r="A2465" s="27">
        <v>2463</v>
      </c>
      <c r="B2465" s="29" t="s">
        <v>1038</v>
      </c>
      <c r="C2465" s="29" t="str">
        <f ca="1">IFERROR(__xludf.DUMMYFUNCTION("GOOGLETRANSLATE(C3386,""en"",""hr"")"),"Okrugli tampon")</f>
        <v>Okrugli tampon</v>
      </c>
      <c r="D2465" s="28" t="s">
        <v>11</v>
      </c>
      <c r="E2465" s="29">
        <v>1</v>
      </c>
      <c r="F2465" s="17"/>
    </row>
    <row r="2466" spans="1:9" ht="25.5" customHeight="1" x14ac:dyDescent="0.2">
      <c r="A2466" s="27">
        <v>2464</v>
      </c>
      <c r="B2466" s="29" t="s">
        <v>1438</v>
      </c>
      <c r="C2466" s="29" t="str">
        <f ca="1">IFERROR(__xludf.DUMMYFUNCTION("GOOGLETRANSLATE(C4682,""en"",""hr"")"),"Okrugli tampon")</f>
        <v>Okrugli tampon</v>
      </c>
      <c r="D2466" s="28" t="s">
        <v>11</v>
      </c>
      <c r="E2466" s="29">
        <v>1</v>
      </c>
      <c r="F2466" s="17"/>
    </row>
    <row r="2467" spans="1:9" ht="25.5" customHeight="1" x14ac:dyDescent="0.2">
      <c r="A2467" s="27">
        <v>2465</v>
      </c>
      <c r="B2467" s="29" t="s">
        <v>964</v>
      </c>
      <c r="C2467" s="29" t="str">
        <f ca="1">IFERROR(__xludf.DUMMYFUNCTION("GOOGLETRANSLATE(C3068,""en"",""hr"")"),"Silentbloc")</f>
        <v>Silentbloc</v>
      </c>
      <c r="D2467" s="28" t="s">
        <v>11</v>
      </c>
      <c r="E2467" s="29">
        <v>1</v>
      </c>
      <c r="F2467" s="17"/>
    </row>
    <row r="2468" spans="1:9" ht="25.5" customHeight="1" x14ac:dyDescent="0.2">
      <c r="A2468" s="27">
        <v>2466</v>
      </c>
      <c r="B2468" s="29" t="s">
        <v>473</v>
      </c>
      <c r="C2468" s="29" t="str">
        <f ca="1">IFERROR(__xludf.DUMMYFUNCTION("GOOGLETRANSLATE(C1134,""en"",""hr"")"),"Tihi ležaj")</f>
        <v>Tihi ležaj</v>
      </c>
      <c r="D2468" s="28" t="s">
        <v>11</v>
      </c>
      <c r="E2468" s="29">
        <v>1</v>
      </c>
      <c r="F2468" s="17"/>
    </row>
    <row r="2469" spans="1:9" ht="25.5" customHeight="1" x14ac:dyDescent="0.2">
      <c r="A2469" s="27">
        <v>2467</v>
      </c>
      <c r="B2469" s="29" t="s">
        <v>474</v>
      </c>
      <c r="C2469" s="29" t="str">
        <f ca="1">IFERROR(__xludf.DUMMYFUNCTION("GOOGLETRANSLATE(C1135,""en"",""hr"")"),"Tihi ležaj")</f>
        <v>Tihi ležaj</v>
      </c>
      <c r="D2469" s="28" t="s">
        <v>11</v>
      </c>
      <c r="E2469" s="29">
        <v>1</v>
      </c>
      <c r="F2469" s="17"/>
    </row>
    <row r="2470" spans="1:9" ht="25.5" customHeight="1" x14ac:dyDescent="0.2">
      <c r="A2470" s="27">
        <v>2468</v>
      </c>
      <c r="B2470" s="29" t="s">
        <v>544</v>
      </c>
      <c r="C2470" s="29" t="str">
        <f ca="1">IFERROR(__xludf.DUMMYFUNCTION("GOOGLETRANSLATE(C1442,""en"",""hr"")"),"Tihi ležaj")</f>
        <v>Tihi ležaj</v>
      </c>
      <c r="D2470" s="28" t="s">
        <v>11</v>
      </c>
      <c r="E2470" s="29">
        <v>1</v>
      </c>
      <c r="F2470" s="17"/>
    </row>
    <row r="2471" spans="1:9" ht="25.5" customHeight="1" x14ac:dyDescent="0.2">
      <c r="A2471" s="27">
        <v>2469</v>
      </c>
      <c r="B2471" s="29" t="s">
        <v>387</v>
      </c>
      <c r="C2471" s="29" t="str">
        <f ca="1">IFERROR(__xludf.DUMMYFUNCTION("GOOGLETRANSLATE(C907,""en"",""hr"")"),"Hidro ležaj")</f>
        <v>Hidro ležaj</v>
      </c>
      <c r="D2471" s="28" t="s">
        <v>11</v>
      </c>
      <c r="E2471" s="29">
        <v>1</v>
      </c>
      <c r="F2471" s="17"/>
    </row>
    <row r="2472" spans="1:9" ht="25.5" customHeight="1" x14ac:dyDescent="0.2">
      <c r="A2472" s="27">
        <v>2470</v>
      </c>
      <c r="B2472" s="29" t="s">
        <v>232</v>
      </c>
      <c r="C2472" s="29" t="str">
        <f ca="1">IFERROR(__xludf.DUMMYFUNCTION("GOOGLETRANSLATE(C484,""en"",""hr"")"),"Proljeće")</f>
        <v>Proljeće</v>
      </c>
      <c r="D2472" s="28" t="s">
        <v>11</v>
      </c>
      <c r="E2472" s="29">
        <v>1</v>
      </c>
      <c r="F2472" s="17"/>
    </row>
    <row r="2473" spans="1:9" ht="25.5" customHeight="1" x14ac:dyDescent="0.2">
      <c r="A2473" s="27">
        <v>2471</v>
      </c>
      <c r="B2473" s="29" t="s">
        <v>549</v>
      </c>
      <c r="C2473" s="29" t="str">
        <f ca="1">IFERROR(__xludf.DUMMYFUNCTION("GOOGLETRANSLATE(C1473,""en"",""hr"")"),"Gumeni prigušivač")</f>
        <v>Gumeni prigušivač</v>
      </c>
      <c r="D2473" s="28" t="s">
        <v>11</v>
      </c>
      <c r="E2473" s="29">
        <v>1</v>
      </c>
      <c r="F2473" s="17"/>
    </row>
    <row r="2474" spans="1:9" ht="25.5" customHeight="1" x14ac:dyDescent="0.2">
      <c r="A2474" s="27">
        <v>2472</v>
      </c>
      <c r="B2474" s="29" t="s">
        <v>42</v>
      </c>
      <c r="C2474" s="29" t="str">
        <f ca="1">IFERROR(__xludf.DUMMYFUNCTION("GOOGLETRANSLATE(C62,""en"",""hr"")"),"konusni ležaj")</f>
        <v>konusni ležaj</v>
      </c>
      <c r="D2474" s="28" t="s">
        <v>11</v>
      </c>
      <c r="E2474" s="29">
        <v>1</v>
      </c>
      <c r="F2474" s="17"/>
    </row>
    <row r="2475" spans="1:9" ht="25.5" customHeight="1" x14ac:dyDescent="0.2">
      <c r="A2475" s="27">
        <v>2473</v>
      </c>
      <c r="B2475" s="29" t="s">
        <v>941</v>
      </c>
      <c r="C2475" s="29" t="str">
        <f ca="1">IFERROR(__xludf.DUMMYFUNCTION("GOOGLETRANSLATE(C2882,""en"",""hr"")"),"Opružni element")</f>
        <v>Opružni element</v>
      </c>
      <c r="D2475" s="28" t="s">
        <v>11</v>
      </c>
      <c r="E2475" s="29">
        <v>1</v>
      </c>
      <c r="F2475" s="17"/>
      <c r="I2475" s="4" t="b">
        <f>INT(F2473*100)=(F2473*100)</f>
        <v>1</v>
      </c>
    </row>
    <row r="2476" spans="1:9" ht="25.5" customHeight="1" x14ac:dyDescent="0.2">
      <c r="A2476" s="27">
        <v>2474</v>
      </c>
      <c r="B2476" s="29" t="s">
        <v>288</v>
      </c>
      <c r="C2476" s="29" t="str">
        <f ca="1">IFERROR(__xludf.DUMMYFUNCTION("GOOGLETRANSLATE(C635,""en"",""hr"")"),"Zaštita prirubnice")</f>
        <v>Zaštita prirubnice</v>
      </c>
      <c r="D2476" s="28" t="s">
        <v>11</v>
      </c>
      <c r="E2476" s="29">
        <v>1</v>
      </c>
      <c r="F2476" s="17"/>
    </row>
    <row r="2477" spans="1:9" ht="25.5" customHeight="1" x14ac:dyDescent="0.2">
      <c r="A2477" s="27">
        <v>2475</v>
      </c>
      <c r="B2477" s="29" t="s">
        <v>1692</v>
      </c>
      <c r="C2477" s="29" t="str">
        <f ca="1">IFERROR(__xludf.DUMMYFUNCTION("GOOGLETRANSLATE(C5870,""en"",""hr"")"),"Collet sertir")</f>
        <v>Collet sertir</v>
      </c>
      <c r="D2477" s="28" t="s">
        <v>11</v>
      </c>
      <c r="E2477" s="29">
        <v>1</v>
      </c>
      <c r="F2477" s="17"/>
    </row>
    <row r="2478" spans="1:9" ht="25.5" customHeight="1" x14ac:dyDescent="0.2">
      <c r="A2478" s="27">
        <v>2476</v>
      </c>
      <c r="B2478" s="29" t="s">
        <v>1675</v>
      </c>
      <c r="C2478" s="29" t="str">
        <f ca="1">IFERROR(__xludf.DUMMYFUNCTION("GOOGLETRANSLATE(C5790,""en"",""hr"")"),"Priključak")</f>
        <v>Priključak</v>
      </c>
      <c r="D2478" s="28" t="s">
        <v>11</v>
      </c>
      <c r="E2478" s="29">
        <v>1</v>
      </c>
      <c r="F2478" s="17"/>
      <c r="I2478" s="4" t="b">
        <f>INT(F2476*100)=(F2476*100)</f>
        <v>1</v>
      </c>
    </row>
    <row r="2479" spans="1:9" ht="25.5" customHeight="1" x14ac:dyDescent="0.2">
      <c r="A2479" s="27">
        <v>2477</v>
      </c>
      <c r="B2479" s="29" t="s">
        <v>1689</v>
      </c>
      <c r="C2479" s="29" t="str">
        <f ca="1">IFERROR(__xludf.DUMMYFUNCTION("GOOGLETRANSLATE(C5863,""en"",""hr"")"),"Priključak")</f>
        <v>Priključak</v>
      </c>
      <c r="D2479" s="28" t="s">
        <v>11</v>
      </c>
      <c r="E2479" s="29">
        <v>1</v>
      </c>
      <c r="F2479" s="17"/>
    </row>
    <row r="2480" spans="1:9" ht="25.5" customHeight="1" x14ac:dyDescent="0.2">
      <c r="A2480" s="27">
        <v>2478</v>
      </c>
      <c r="B2480" s="29" t="s">
        <v>1674</v>
      </c>
      <c r="C2480" s="29" t="str">
        <f ca="1">IFERROR(__xludf.DUMMYFUNCTION("GOOGLETRANSLATE(C5789,""en"",""hr"")"),"Uklapanje")</f>
        <v>Uklapanje</v>
      </c>
      <c r="D2480" s="28" t="s">
        <v>11</v>
      </c>
      <c r="E2480" s="29">
        <v>1</v>
      </c>
      <c r="F2480" s="17"/>
    </row>
    <row r="2481" spans="1:9" ht="25.5" customHeight="1" x14ac:dyDescent="0.2">
      <c r="A2481" s="27">
        <v>2479</v>
      </c>
      <c r="B2481" s="29" t="s">
        <v>1733</v>
      </c>
      <c r="C2481" s="29" t="str">
        <f ca="1">IFERROR(__xludf.DUMMYFUNCTION("GOOGLETRANSLATE(C6026,""en"",""hr"")"),"Prirubnica")</f>
        <v>Prirubnica</v>
      </c>
      <c r="D2481" s="28" t="s">
        <v>11</v>
      </c>
      <c r="E2481" s="29">
        <v>1</v>
      </c>
      <c r="F2481" s="17"/>
    </row>
    <row r="2482" spans="1:9" ht="25.5" customHeight="1" x14ac:dyDescent="0.2">
      <c r="A2482" s="27">
        <v>2480</v>
      </c>
      <c r="B2482" s="29" t="s">
        <v>1715</v>
      </c>
      <c r="C2482" s="29" t="str">
        <f ca="1">IFERROR(__xludf.DUMMYFUNCTION("GOOGLETRANSLATE(C5955,""en"",""hr"")"),"Prirubnica")</f>
        <v>Prirubnica</v>
      </c>
      <c r="D2482" s="28" t="s">
        <v>11</v>
      </c>
      <c r="E2482" s="29">
        <v>1</v>
      </c>
      <c r="F2482" s="17"/>
      <c r="I2482" s="4" t="b">
        <f>INT(F2480*100)=(F2480*100)</f>
        <v>1</v>
      </c>
    </row>
    <row r="2483" spans="1:9" ht="25.5" customHeight="1" x14ac:dyDescent="0.2">
      <c r="A2483" s="27">
        <v>2481</v>
      </c>
      <c r="B2483" s="29" t="s">
        <v>1553</v>
      </c>
      <c r="C2483" s="29" t="str">
        <f ca="1">IFERROR(__xludf.DUMMYFUNCTION("GOOGLETRANSLATE(C5291,""en"",""hr"")"),"Ručka")</f>
        <v>Ručka</v>
      </c>
      <c r="D2483" s="28" t="s">
        <v>11</v>
      </c>
      <c r="E2483" s="29">
        <v>1</v>
      </c>
      <c r="F2483" s="17"/>
    </row>
    <row r="2484" spans="1:9" ht="25.5" customHeight="1" x14ac:dyDescent="0.2">
      <c r="A2484" s="27">
        <v>2482</v>
      </c>
      <c r="B2484" s="29" t="s">
        <v>1542</v>
      </c>
      <c r="C2484" s="29" t="str">
        <f ca="1">IFERROR(__xludf.DUMMYFUNCTION("GOOGLETRANSLATE(C5246,""en"",""hr"")"),"Bregasta poluga")</f>
        <v>Bregasta poluga</v>
      </c>
      <c r="D2484" s="28" t="s">
        <v>11</v>
      </c>
      <c r="E2484" s="29">
        <v>1</v>
      </c>
      <c r="F2484" s="17"/>
    </row>
    <row r="2485" spans="1:9" ht="25.5" customHeight="1" x14ac:dyDescent="0.2">
      <c r="A2485" s="27">
        <v>2483</v>
      </c>
      <c r="B2485" s="29" t="s">
        <v>173</v>
      </c>
      <c r="C2485" s="29" t="str">
        <f ca="1">IFERROR(__xludf.DUMMYFUNCTION("GOOGLETRANSLATE(C339,""en"",""hr"")"),"Šipka za zaključavanje 5 mm")</f>
        <v>Šipka za zaključavanje 5 mm</v>
      </c>
      <c r="D2485" s="28" t="s">
        <v>11</v>
      </c>
      <c r="E2485" s="29">
        <v>1</v>
      </c>
      <c r="F2485" s="17"/>
    </row>
    <row r="2486" spans="1:9" ht="25.5" customHeight="1" x14ac:dyDescent="0.2">
      <c r="A2486" s="27">
        <v>2484</v>
      </c>
      <c r="B2486" s="29" t="s">
        <v>1504</v>
      </c>
      <c r="C2486" s="29" t="str">
        <f ca="1">IFERROR(__xludf.DUMMYFUNCTION("GOOGLETRANSLATE(C5054,""en"",""hr"")"),"Držač veze")</f>
        <v>Držač veze</v>
      </c>
      <c r="D2486" s="28" t="s">
        <v>11</v>
      </c>
      <c r="E2486" s="29">
        <v>1</v>
      </c>
      <c r="F2486" s="17"/>
    </row>
    <row r="2487" spans="1:9" ht="25.5" customHeight="1" x14ac:dyDescent="0.2">
      <c r="A2487" s="27">
        <v>2485</v>
      </c>
      <c r="B2487" s="29" t="s">
        <v>1474</v>
      </c>
      <c r="C2487" s="29" t="str">
        <f ca="1">IFERROR(__xludf.DUMMYFUNCTION("GOOGLETRANSLATE(C4957,""en"",""hr"")"),"Ručka")</f>
        <v>Ručka</v>
      </c>
      <c r="D2487" s="28" t="s">
        <v>11</v>
      </c>
      <c r="E2487" s="29">
        <v>1</v>
      </c>
      <c r="F2487" s="17"/>
    </row>
    <row r="2488" spans="1:9" ht="25.5" customHeight="1" x14ac:dyDescent="0.2">
      <c r="A2488" s="27">
        <v>2486</v>
      </c>
      <c r="B2488" s="29" t="s">
        <v>1036</v>
      </c>
      <c r="C2488" s="29" t="str">
        <f ca="1">IFERROR(__xludf.DUMMYFUNCTION("GOOGLETRANSLATE(C3371,""en"",""hr"")"),"Stezna poluga")</f>
        <v>Stezna poluga</v>
      </c>
      <c r="D2488" s="28" t="s">
        <v>11</v>
      </c>
      <c r="E2488" s="29">
        <v>1</v>
      </c>
      <c r="F2488" s="17"/>
    </row>
    <row r="2489" spans="1:9" ht="25.5" customHeight="1" x14ac:dyDescent="0.2">
      <c r="A2489" s="27">
        <v>2487</v>
      </c>
      <c r="B2489" s="29" t="s">
        <v>1325</v>
      </c>
      <c r="C2489" s="29" t="str">
        <f ca="1">IFERROR(__xludf.DUMMYFUNCTION("GOOGLETRANSLATE(C4168,""en"",""hr"")"),"Držač")</f>
        <v>Držač</v>
      </c>
      <c r="D2489" s="28" t="s">
        <v>11</v>
      </c>
      <c r="E2489" s="29">
        <v>1</v>
      </c>
      <c r="F2489" s="17"/>
    </row>
    <row r="2490" spans="1:9" ht="25.5" customHeight="1" x14ac:dyDescent="0.2">
      <c r="A2490" s="27">
        <v>2488</v>
      </c>
      <c r="B2490" s="29" t="s">
        <v>1545</v>
      </c>
      <c r="C2490" s="29" t="str">
        <f ca="1">IFERROR(__xludf.DUMMYFUNCTION("GOOGLETRANSLATE(C5259,""en"",""hr"")"),"Zvjezdasta ručka")</f>
        <v>Zvjezdasta ručka</v>
      </c>
      <c r="D2490" s="28" t="s">
        <v>11</v>
      </c>
      <c r="E2490" s="29">
        <v>1</v>
      </c>
      <c r="F2490" s="17"/>
    </row>
    <row r="2491" spans="1:9" ht="25.5" customHeight="1" x14ac:dyDescent="0.2">
      <c r="A2491" s="27">
        <v>2489</v>
      </c>
      <c r="B2491" s="29" t="s">
        <v>1544</v>
      </c>
      <c r="C2491" s="29" t="str">
        <f ca="1">IFERROR(__xludf.DUMMYFUNCTION("GOOGLETRANSLATE(C5258,""en"",""hr"")"),"Vreteno")</f>
        <v>Vreteno</v>
      </c>
      <c r="D2491" s="28" t="s">
        <v>11</v>
      </c>
      <c r="E2491" s="29">
        <v>1</v>
      </c>
      <c r="F2491" s="17"/>
    </row>
    <row r="2492" spans="1:9" ht="25.5" customHeight="1" x14ac:dyDescent="0.2">
      <c r="A2492" s="27">
        <v>2490</v>
      </c>
      <c r="B2492" s="29" t="s">
        <v>1752</v>
      </c>
      <c r="C2492" s="29" t="str">
        <f ca="1">IFERROR(__xludf.DUMMYFUNCTION("GOOGLETRANSLATE(C6115,""en"",""hr"")"),"4/2 smjerni ventil")</f>
        <v>4/2 smjerni ventil</v>
      </c>
      <c r="D2492" s="28" t="s">
        <v>11</v>
      </c>
      <c r="E2492" s="29">
        <v>1</v>
      </c>
      <c r="F2492" s="17"/>
    </row>
    <row r="2493" spans="1:9" ht="25.5" customHeight="1" x14ac:dyDescent="0.2">
      <c r="A2493" s="27">
        <v>2491</v>
      </c>
      <c r="B2493" s="29" t="s">
        <v>1750</v>
      </c>
      <c r="C2493" s="29" t="str">
        <f ca="1">IFERROR(__xludf.DUMMYFUNCTION("GOOGLETRANSLATE(C6113,""en"",""hr"")"),"4/2-putni ventil")</f>
        <v>4/2-putni ventil</v>
      </c>
      <c r="D2493" s="28" t="s">
        <v>11</v>
      </c>
      <c r="E2493" s="29">
        <v>1</v>
      </c>
      <c r="F2493" s="17"/>
    </row>
    <row r="2494" spans="1:9" ht="25.5" customHeight="1" x14ac:dyDescent="0.2">
      <c r="A2494" s="27">
        <v>2492</v>
      </c>
      <c r="B2494" s="29" t="s">
        <v>1748</v>
      </c>
      <c r="C2494" s="29" t="str">
        <f ca="1">IFERROR(__xludf.DUMMYFUNCTION("GOOGLETRANSLATE(C6111,""en"",""hr"")"),"Regulator")</f>
        <v>Regulator</v>
      </c>
      <c r="D2494" s="28" t="s">
        <v>11</v>
      </c>
      <c r="E2494" s="29">
        <v>1</v>
      </c>
      <c r="F2494" s="17"/>
    </row>
    <row r="2495" spans="1:9" ht="25.5" customHeight="1" x14ac:dyDescent="0.2">
      <c r="A2495" s="27">
        <v>2493</v>
      </c>
      <c r="B2495" s="29" t="s">
        <v>1763</v>
      </c>
      <c r="C2495" s="29" t="str">
        <f ca="1">IFERROR(__xludf.DUMMYFUNCTION("GOOGLETRANSLATE(C6130,""en"",""hr"")"),"2/2 potporni ventil")</f>
        <v>2/2 potporni ventil</v>
      </c>
      <c r="D2495" s="28" t="s">
        <v>11</v>
      </c>
      <c r="E2495" s="29">
        <v>1</v>
      </c>
      <c r="F2495" s="17"/>
    </row>
    <row r="2496" spans="1:9" ht="25.5" customHeight="1" x14ac:dyDescent="0.2">
      <c r="A2496" s="27">
        <v>2494</v>
      </c>
      <c r="B2496" s="29" t="s">
        <v>1774</v>
      </c>
      <c r="C2496" s="29" t="str">
        <f ca="1">IFERROR(__xludf.DUMMYFUNCTION("GOOGLETRANSLATE(C6146,""en"",""hr"")"),"4/3-smjerni ventil")</f>
        <v>4/3-smjerni ventil</v>
      </c>
      <c r="D2496" s="28" t="s">
        <v>11</v>
      </c>
      <c r="E2496" s="29">
        <v>1</v>
      </c>
      <c r="F2496" s="17"/>
    </row>
    <row r="2497" spans="1:9" ht="25.5" customHeight="1" x14ac:dyDescent="0.2">
      <c r="A2497" s="27">
        <v>2495</v>
      </c>
      <c r="B2497" s="29" t="s">
        <v>1766</v>
      </c>
      <c r="C2497" s="29" t="str">
        <f ca="1">IFERROR(__xludf.DUMMYFUNCTION("GOOGLETRANSLATE(C6134,""en"",""hr"")"),"4/3-smjerni ventil")</f>
        <v>4/3-smjerni ventil</v>
      </c>
      <c r="D2497" s="28" t="s">
        <v>11</v>
      </c>
      <c r="E2497" s="29">
        <v>1</v>
      </c>
      <c r="F2497" s="17"/>
    </row>
    <row r="2498" spans="1:9" ht="25.5" customHeight="1" x14ac:dyDescent="0.2">
      <c r="A2498" s="27">
        <v>2496</v>
      </c>
      <c r="B2498" s="29" t="s">
        <v>1765</v>
      </c>
      <c r="C2498" s="29" t="str">
        <f ca="1">IFERROR(__xludf.DUMMYFUNCTION("GOOGLETRANSLATE(C6133,""en"",""hr"")"),"uložak")</f>
        <v>uložak</v>
      </c>
      <c r="D2498" s="28" t="s">
        <v>11</v>
      </c>
      <c r="E2498" s="29">
        <v>1</v>
      </c>
      <c r="F2498" s="17"/>
    </row>
    <row r="2499" spans="1:9" ht="25.5" customHeight="1" x14ac:dyDescent="0.2">
      <c r="A2499" s="27">
        <v>2497</v>
      </c>
      <c r="B2499" s="29" t="s">
        <v>1776</v>
      </c>
      <c r="C2499" s="29" t="str">
        <f ca="1">IFERROR(__xludf.DUMMYFUNCTION("GOOGLETRANSLATE(C6155,""en"",""hr"")"),"2/2 potporni ventil")</f>
        <v>2/2 potporni ventil</v>
      </c>
      <c r="D2499" s="28" t="s">
        <v>11</v>
      </c>
      <c r="E2499" s="29">
        <v>1</v>
      </c>
      <c r="F2499" s="17"/>
    </row>
    <row r="2500" spans="1:9" ht="25.5" customHeight="1" x14ac:dyDescent="0.2">
      <c r="A2500" s="27">
        <v>2498</v>
      </c>
      <c r="B2500" s="29" t="s">
        <v>1764</v>
      </c>
      <c r="C2500" s="29" t="str">
        <f ca="1">IFERROR(__xludf.DUMMYFUNCTION("GOOGLETRANSLATE(C6132,""en"",""hr"")"),"3/2-ventil")</f>
        <v>3/2-ventil</v>
      </c>
      <c r="D2500" s="28" t="s">
        <v>11</v>
      </c>
      <c r="E2500" s="29">
        <v>1</v>
      </c>
      <c r="F2500" s="17"/>
    </row>
    <row r="2501" spans="1:9" ht="25.5" customHeight="1" x14ac:dyDescent="0.2">
      <c r="A2501" s="27">
        <v>2499</v>
      </c>
      <c r="B2501" s="29" t="s">
        <v>1784</v>
      </c>
      <c r="C2501" s="29" t="str">
        <f ca="1">IFERROR(__xludf.DUMMYFUNCTION("GOOGLETRANSLATE(C6184,""en"",""hr"")"),"3/2-ventil")</f>
        <v>3/2-ventil</v>
      </c>
      <c r="D2501" s="28" t="s">
        <v>11</v>
      </c>
      <c r="E2501" s="29">
        <v>1</v>
      </c>
      <c r="F2501" s="17"/>
      <c r="I2501" s="4" t="b">
        <f>INT(F2499*100)=(F2499*100)</f>
        <v>1</v>
      </c>
    </row>
    <row r="2502" spans="1:9" ht="25.5" customHeight="1" x14ac:dyDescent="0.2">
      <c r="A2502" s="27">
        <v>2500</v>
      </c>
      <c r="B2502" s="29" t="s">
        <v>1767</v>
      </c>
      <c r="C2502" s="29" t="str">
        <f ca="1">IFERROR(__xludf.DUMMYFUNCTION("GOOGLETRANSLATE(C6136,""en"",""hr"")"),"4/2-putni ventil")</f>
        <v>4/2-putni ventil</v>
      </c>
      <c r="D2502" s="28" t="s">
        <v>11</v>
      </c>
      <c r="E2502" s="29">
        <v>1</v>
      </c>
      <c r="F2502" s="17"/>
    </row>
    <row r="2503" spans="1:9" ht="25.5" customHeight="1" x14ac:dyDescent="0.2">
      <c r="A2503" s="27">
        <v>2501</v>
      </c>
      <c r="B2503" s="29" t="s">
        <v>1770</v>
      </c>
      <c r="C2503" s="29" t="str">
        <f ca="1">IFERROR(__xludf.DUMMYFUNCTION("GOOGLETRANSLATE(C6139,""en"",""hr"")"),"Solenoid")</f>
        <v>Solenoid</v>
      </c>
      <c r="D2503" s="28" t="s">
        <v>11</v>
      </c>
      <c r="E2503" s="29">
        <v>1</v>
      </c>
      <c r="F2503" s="17"/>
    </row>
    <row r="2504" spans="1:9" ht="25.5" customHeight="1" x14ac:dyDescent="0.2">
      <c r="A2504" s="27">
        <v>2502</v>
      </c>
      <c r="B2504" s="29" t="s">
        <v>1772</v>
      </c>
      <c r="C2504" s="29" t="str">
        <f ca="1">IFERROR(__xludf.DUMMYFUNCTION("GOOGLETRANSLATE(C6141,""en"",""hr"")"),"Solenoid")</f>
        <v>Solenoid</v>
      </c>
      <c r="D2504" s="28" t="s">
        <v>11</v>
      </c>
      <c r="E2504" s="29">
        <v>1</v>
      </c>
      <c r="F2504" s="17"/>
      <c r="I2504" s="4" t="b">
        <f>INT(F2502*100)=(F2502*100)</f>
        <v>1</v>
      </c>
    </row>
    <row r="2505" spans="1:9" ht="25.5" customHeight="1" x14ac:dyDescent="0.2">
      <c r="A2505" s="27">
        <v>2503</v>
      </c>
      <c r="B2505" s="29" t="s">
        <v>1773</v>
      </c>
      <c r="C2505" s="29" t="str">
        <f ca="1">IFERROR(__xludf.DUMMYFUNCTION("GOOGLETRANSLATE(C6142,""en"",""hr"")"),"Solenoid")</f>
        <v>Solenoid</v>
      </c>
      <c r="D2505" s="28" t="s">
        <v>11</v>
      </c>
      <c r="E2505" s="29">
        <v>1</v>
      </c>
      <c r="F2505" s="17"/>
    </row>
    <row r="2506" spans="1:9" ht="25.5" customHeight="1" x14ac:dyDescent="0.2">
      <c r="A2506" s="27">
        <v>2504</v>
      </c>
      <c r="B2506" s="29" t="s">
        <v>1746</v>
      </c>
      <c r="C2506" s="29" t="str">
        <f ca="1">IFERROR(__xludf.DUMMYFUNCTION("GOOGLETRANSLATE(C6108,""en"",""hr"")"),"3/2-ventil")</f>
        <v>3/2-ventil</v>
      </c>
      <c r="D2506" s="28" t="s">
        <v>11</v>
      </c>
      <c r="E2506" s="29">
        <v>1</v>
      </c>
      <c r="F2506" s="17"/>
    </row>
    <row r="2507" spans="1:9" ht="25.5" customHeight="1" x14ac:dyDescent="0.2">
      <c r="A2507" s="27">
        <v>2505</v>
      </c>
      <c r="B2507" s="29" t="s">
        <v>1749</v>
      </c>
      <c r="C2507" s="29" t="str">
        <f ca="1">IFERROR(__xludf.DUMMYFUNCTION("GOOGLETRANSLATE(C6112,""en"",""hr"")"),"4/2-putni ventil")</f>
        <v>4/2-putni ventil</v>
      </c>
      <c r="D2507" s="28" t="s">
        <v>11</v>
      </c>
      <c r="E2507" s="29">
        <v>1</v>
      </c>
      <c r="F2507" s="17"/>
    </row>
    <row r="2508" spans="1:9" ht="25.5" customHeight="1" x14ac:dyDescent="0.2">
      <c r="A2508" s="27">
        <v>2506</v>
      </c>
      <c r="B2508" s="29" t="s">
        <v>1751</v>
      </c>
      <c r="C2508" s="29" t="str">
        <f ca="1">IFERROR(__xludf.DUMMYFUNCTION("GOOGLETRANSLATE(C6114,""en"",""hr"")"),"Ventil")</f>
        <v>Ventil</v>
      </c>
      <c r="D2508" s="28" t="s">
        <v>11</v>
      </c>
      <c r="E2508" s="29">
        <v>1</v>
      </c>
      <c r="F2508" s="17"/>
      <c r="I2508" s="4" t="b">
        <f>INT(F2506*100)=(F2506*100)</f>
        <v>1</v>
      </c>
    </row>
    <row r="2509" spans="1:9" ht="25.5" customHeight="1" x14ac:dyDescent="0.2">
      <c r="A2509" s="27">
        <v>2507</v>
      </c>
      <c r="B2509" s="29" t="s">
        <v>1309</v>
      </c>
      <c r="C2509" s="29" t="str">
        <f ca="1">IFERROR(__xludf.DUMMYFUNCTION("GOOGLETRANSLATE(C4128,""en"",""hr"")"),"Usmjereni ventil kpl. 2/2")</f>
        <v>Usmjereni ventil kpl. 2/2</v>
      </c>
      <c r="D2509" s="28" t="s">
        <v>11</v>
      </c>
      <c r="E2509" s="29">
        <v>1</v>
      </c>
      <c r="F2509" s="17"/>
    </row>
    <row r="2510" spans="1:9" ht="25.5" customHeight="1" x14ac:dyDescent="0.2">
      <c r="A2510" s="27">
        <v>2508</v>
      </c>
      <c r="B2510" s="29" t="s">
        <v>1376</v>
      </c>
      <c r="C2510" s="29" t="str">
        <f ca="1">IFERROR(__xludf.DUMMYFUNCTION("GOOGLETRANSLATE(C4356,""en"",""hr"")"),"Ventil za spuštanje kočnice 200 bara")</f>
        <v>Ventil za spuštanje kočnice 200 bara</v>
      </c>
      <c r="D2510" s="28" t="s">
        <v>11</v>
      </c>
      <c r="E2510" s="29">
        <v>1</v>
      </c>
      <c r="F2510" s="17"/>
    </row>
    <row r="2511" spans="1:9" ht="25.5" customHeight="1" x14ac:dyDescent="0.2">
      <c r="A2511" s="27">
        <v>2509</v>
      </c>
      <c r="B2511" s="29" t="s">
        <v>1754</v>
      </c>
      <c r="C2511" s="29" t="str">
        <f ca="1">IFERROR(__xludf.DUMMYFUNCTION("GOOGLETRANSLATE(C6118,""en"",""hr"")"),"Tlačni ventil")</f>
        <v>Tlačni ventil</v>
      </c>
      <c r="D2511" s="28" t="s">
        <v>11</v>
      </c>
      <c r="E2511" s="29">
        <v>1</v>
      </c>
      <c r="F2511" s="17"/>
    </row>
    <row r="2512" spans="1:9" ht="25.5" customHeight="1" x14ac:dyDescent="0.2">
      <c r="A2512" s="27">
        <v>2510</v>
      </c>
      <c r="B2512" s="29" t="s">
        <v>1745</v>
      </c>
      <c r="C2512" s="29" t="str">
        <f ca="1">IFERROR(__xludf.DUMMYFUNCTION("GOOGLETRANSLATE(C6107,""en"",""hr"")"),"Ventil za smanjenje tlaka - prednamješten na 170 bara")</f>
        <v>Ventil za smanjenje tlaka - prednamješten na 170 bara</v>
      </c>
      <c r="D2512" s="28" t="s">
        <v>11</v>
      </c>
      <c r="E2512" s="29">
        <v>1</v>
      </c>
      <c r="F2512" s="17"/>
    </row>
    <row r="2513" spans="1:9" ht="25.5" customHeight="1" x14ac:dyDescent="0.2">
      <c r="A2513" s="27">
        <v>2511</v>
      </c>
      <c r="B2513" s="29" t="s">
        <v>1788</v>
      </c>
      <c r="C2513" s="29" t="str">
        <f ca="1">IFERROR(__xludf.DUMMYFUNCTION("GOOGLETRANSLATE(C6191,""en"",""hr"")"),"Tlačni ventil")</f>
        <v>Tlačni ventil</v>
      </c>
      <c r="D2513" s="28" t="s">
        <v>11</v>
      </c>
      <c r="E2513" s="29">
        <v>1</v>
      </c>
      <c r="F2513" s="17"/>
    </row>
    <row r="2514" spans="1:9" ht="25.5" customHeight="1" x14ac:dyDescent="0.2">
      <c r="A2514" s="27">
        <v>2512</v>
      </c>
      <c r="B2514" s="29" t="s">
        <v>1160</v>
      </c>
      <c r="C2514" s="29" t="str">
        <f ca="1">IFERROR(__xludf.DUMMYFUNCTION("GOOGLETRANSLATE(C3765,""en"",""hr"")"),"Ventil za kontrolu tlaka")</f>
        <v>Ventil za kontrolu tlaka</v>
      </c>
      <c r="D2514" s="28" t="s">
        <v>11</v>
      </c>
      <c r="E2514" s="29">
        <v>1</v>
      </c>
      <c r="F2514" s="17"/>
    </row>
    <row r="2515" spans="1:9" ht="25.5" customHeight="1" x14ac:dyDescent="0.2">
      <c r="A2515" s="27">
        <v>2513</v>
      </c>
      <c r="B2515" s="29" t="s">
        <v>353</v>
      </c>
      <c r="C2515" s="29" t="str">
        <f ca="1">IFERROR(__xludf.DUMMYFUNCTION("GOOGLETRANSLATE(C808,""en"",""hr"")"),"Ventil")</f>
        <v>Ventil</v>
      </c>
      <c r="D2515" s="28" t="s">
        <v>11</v>
      </c>
      <c r="E2515" s="29">
        <v>1</v>
      </c>
      <c r="F2515" s="17"/>
    </row>
    <row r="2516" spans="1:9" ht="25.5" customHeight="1" x14ac:dyDescent="0.2">
      <c r="A2516" s="27">
        <v>2514</v>
      </c>
      <c r="B2516" s="29" t="s">
        <v>1768</v>
      </c>
      <c r="C2516" s="29" t="str">
        <f ca="1">IFERROR(__xludf.DUMMYFUNCTION("GOOGLETRANSLATE(C6137,""en"",""hr"")"),"Ventil za redukciju tlaka - prednamješten na 20 bara")</f>
        <v>Ventil za redukciju tlaka - prednamješten na 20 bara</v>
      </c>
      <c r="D2516" s="28" t="s">
        <v>11</v>
      </c>
      <c r="E2516" s="29">
        <v>1</v>
      </c>
      <c r="F2516" s="17"/>
    </row>
    <row r="2517" spans="1:9" ht="25.5" customHeight="1" x14ac:dyDescent="0.2">
      <c r="A2517" s="27">
        <v>2515</v>
      </c>
      <c r="B2517" s="29" t="s">
        <v>1777</v>
      </c>
      <c r="C2517" s="29" t="str">
        <f ca="1">IFERROR(__xludf.DUMMYFUNCTION("GOOGLETRANSLATE(C6158,""en"",""hr"")"),"Ventil za redukciju tlaka - prednamješten na 40 bara")</f>
        <v>Ventil za redukciju tlaka - prednamješten na 40 bara</v>
      </c>
      <c r="D2517" s="28" t="s">
        <v>11</v>
      </c>
      <c r="E2517" s="29">
        <v>1</v>
      </c>
      <c r="F2517" s="17"/>
    </row>
    <row r="2518" spans="1:9" ht="25.5" customHeight="1" x14ac:dyDescent="0.2">
      <c r="A2518" s="27">
        <v>2516</v>
      </c>
      <c r="B2518" s="29" t="s">
        <v>1775</v>
      </c>
      <c r="C2518" s="29" t="str">
        <f ca="1">IFERROR(__xludf.DUMMYFUNCTION("GOOGLETRANSLATE(C6154,""en"",""hr"")"),"Ventil za smanjenje tlaka")</f>
        <v>Ventil za smanjenje tlaka</v>
      </c>
      <c r="D2518" s="28" t="s">
        <v>11</v>
      </c>
      <c r="E2518" s="29">
        <v>1</v>
      </c>
      <c r="F2518" s="17"/>
    </row>
    <row r="2519" spans="1:9" ht="25.5" customHeight="1" x14ac:dyDescent="0.2">
      <c r="A2519" s="27">
        <v>2517</v>
      </c>
      <c r="B2519" s="29" t="s">
        <v>1785</v>
      </c>
      <c r="C2519" s="29" t="str">
        <f ca="1">IFERROR(__xludf.DUMMYFUNCTION("GOOGLETRANSLATE(C6186,""en"",""hr"")"),"Ventil za smanjenje tlaka - prednamješten na 425 bara")</f>
        <v>Ventil za smanjenje tlaka - prednamješten na 425 bara</v>
      </c>
      <c r="D2519" s="28" t="s">
        <v>11</v>
      </c>
      <c r="E2519" s="29">
        <v>1</v>
      </c>
      <c r="F2519" s="17"/>
    </row>
    <row r="2520" spans="1:9" ht="25.5" customHeight="1" x14ac:dyDescent="0.2">
      <c r="A2520" s="27">
        <v>2518</v>
      </c>
      <c r="B2520" s="29" t="s">
        <v>1781</v>
      </c>
      <c r="C2520" s="29" t="str">
        <f ca="1">IFERROR(__xludf.DUMMYFUNCTION("GOOGLETRANSLATE(C6167,""en"",""hr"")"),"Ventil za smanjenje tlaka - prednamješten na 100 bara")</f>
        <v>Ventil za smanjenje tlaka - prednamješten na 100 bara</v>
      </c>
      <c r="D2520" s="28" t="s">
        <v>11</v>
      </c>
      <c r="E2520" s="29">
        <v>1</v>
      </c>
      <c r="F2520" s="17"/>
    </row>
    <row r="2521" spans="1:9" ht="25.5" customHeight="1" x14ac:dyDescent="0.2">
      <c r="A2521" s="27">
        <v>2519</v>
      </c>
      <c r="B2521" s="29" t="s">
        <v>1780</v>
      </c>
      <c r="C2521" s="29" t="str">
        <f ca="1">IFERROR(__xludf.DUMMYFUNCTION("GOOGLETRANSLATE(C6166,""en"",""hr"")"),"Ventil za smanjenje tlaka - prednamješten na 28 bara")</f>
        <v>Ventil za smanjenje tlaka - prednamješten na 28 bara</v>
      </c>
      <c r="D2521" s="28" t="s">
        <v>11</v>
      </c>
      <c r="E2521" s="29">
        <v>1</v>
      </c>
      <c r="F2521" s="17"/>
    </row>
    <row r="2522" spans="1:9" ht="25.5" customHeight="1" x14ac:dyDescent="0.2">
      <c r="A2522" s="27">
        <v>2520</v>
      </c>
      <c r="B2522" s="29" t="s">
        <v>1779</v>
      </c>
      <c r="C2522" s="29" t="str">
        <f ca="1">IFERROR(__xludf.DUMMYFUNCTION("GOOGLETRANSLATE(C6165,""en"",""hr"")"),"Ventil za smanjenje tlaka - prednamješten na 44 bara")</f>
        <v>Ventil za smanjenje tlaka - prednamješten na 44 bara</v>
      </c>
      <c r="D2522" s="28" t="s">
        <v>11</v>
      </c>
      <c r="E2522" s="29">
        <v>1</v>
      </c>
      <c r="F2522" s="17"/>
    </row>
    <row r="2523" spans="1:9" ht="25.5" customHeight="1" x14ac:dyDescent="0.2">
      <c r="A2523" s="27">
        <v>2521</v>
      </c>
      <c r="B2523" s="29" t="s">
        <v>1782</v>
      </c>
      <c r="C2523" s="29" t="str">
        <f ca="1">IFERROR(__xludf.DUMMYFUNCTION("GOOGLETRANSLATE(C6168,""en"",""hr"")"),"Ventil za smanjenje tlaka - prednamješten na 63 bara")</f>
        <v>Ventil za smanjenje tlaka - prednamješten na 63 bara</v>
      </c>
      <c r="D2523" s="28" t="s">
        <v>11</v>
      </c>
      <c r="E2523" s="29">
        <v>1</v>
      </c>
      <c r="F2523" s="17"/>
    </row>
    <row r="2524" spans="1:9" ht="25.5" customHeight="1" x14ac:dyDescent="0.2">
      <c r="A2524" s="27">
        <v>2522</v>
      </c>
      <c r="B2524" s="29" t="s">
        <v>1786</v>
      </c>
      <c r="C2524" s="29" t="str">
        <f ca="1">IFERROR(__xludf.DUMMYFUNCTION("GOOGLETRANSLATE(C6188,""en"",""hr"")"),"Ventil za smanjenje tlaka")</f>
        <v>Ventil za smanjenje tlaka</v>
      </c>
      <c r="D2524" s="28" t="s">
        <v>11</v>
      </c>
      <c r="E2524" s="29">
        <v>1</v>
      </c>
      <c r="F2524" s="17"/>
    </row>
    <row r="2525" spans="1:9" ht="25.5" customHeight="1" x14ac:dyDescent="0.2">
      <c r="A2525" s="27">
        <v>2523</v>
      </c>
      <c r="B2525" s="29" t="s">
        <v>1761</v>
      </c>
      <c r="C2525" s="29" t="str">
        <f ca="1">IFERROR(__xludf.DUMMYFUNCTION("GOOGLETRANSLATE(C6127,""en"",""hr"")"),"Povratni ventil")</f>
        <v>Povratni ventil</v>
      </c>
      <c r="D2525" s="28" t="s">
        <v>11</v>
      </c>
      <c r="E2525" s="29">
        <v>1</v>
      </c>
      <c r="F2525" s="17"/>
    </row>
    <row r="2526" spans="1:9" ht="25.5" customHeight="1" x14ac:dyDescent="0.2">
      <c r="A2526" s="27">
        <v>2524</v>
      </c>
      <c r="B2526" s="29" t="s">
        <v>350</v>
      </c>
      <c r="C2526" s="29" t="str">
        <f ca="1">IFERROR(__xludf.DUMMYFUNCTION("GOOGLETRANSLATE(C804,""en"",""hr"")"),"Ventil")</f>
        <v>Ventil</v>
      </c>
      <c r="D2526" s="28" t="s">
        <v>11</v>
      </c>
      <c r="E2526" s="29">
        <v>1</v>
      </c>
      <c r="F2526" s="17"/>
      <c r="I2526" s="4" t="b">
        <f>INT(F2524*100)=(F2524*100)</f>
        <v>1</v>
      </c>
    </row>
    <row r="2527" spans="1:9" ht="25.5" customHeight="1" x14ac:dyDescent="0.2">
      <c r="A2527" s="27">
        <v>2525</v>
      </c>
      <c r="B2527" s="29" t="s">
        <v>1755</v>
      </c>
      <c r="C2527" s="29" t="str">
        <f ca="1">IFERROR(__xludf.DUMMYFUNCTION("GOOGLETRANSLATE(C6119,""en"",""hr"")"),"Povratni ventil")</f>
        <v>Povratni ventil</v>
      </c>
      <c r="D2527" s="28" t="s">
        <v>11</v>
      </c>
      <c r="E2527" s="29">
        <v>1</v>
      </c>
      <c r="F2527" s="17"/>
    </row>
    <row r="2528" spans="1:9" ht="25.5" customHeight="1" x14ac:dyDescent="0.2">
      <c r="A2528" s="27">
        <v>2526</v>
      </c>
      <c r="B2528" s="29" t="s">
        <v>1778</v>
      </c>
      <c r="C2528" s="29" t="str">
        <f ca="1">IFERROR(__xludf.DUMMYFUNCTION("GOOGLETRANSLATE(C6159,""en"",""hr"")"),"Ventil")</f>
        <v>Ventil</v>
      </c>
      <c r="D2528" s="28" t="s">
        <v>11</v>
      </c>
      <c r="E2528" s="29">
        <v>1</v>
      </c>
      <c r="F2528" s="17"/>
    </row>
    <row r="2529" spans="1:9" ht="25.5" customHeight="1" x14ac:dyDescent="0.2">
      <c r="A2529" s="27">
        <v>2527</v>
      </c>
      <c r="B2529" s="29" t="s">
        <v>1783</v>
      </c>
      <c r="C2529" s="29" t="str">
        <f ca="1">IFERROR(__xludf.DUMMYFUNCTION("GOOGLETRANSLATE(C6174,""en"",""hr"")"),"Povratni ventil")</f>
        <v>Povratni ventil</v>
      </c>
      <c r="D2529" s="28" t="s">
        <v>11</v>
      </c>
      <c r="E2529" s="29">
        <v>1</v>
      </c>
      <c r="F2529" s="17"/>
      <c r="I2529" s="4" t="b">
        <f>INT(F2527*100)=(F2527*100)</f>
        <v>1</v>
      </c>
    </row>
    <row r="2530" spans="1:9" ht="25.5" customHeight="1" x14ac:dyDescent="0.2">
      <c r="A2530" s="27">
        <v>2528</v>
      </c>
      <c r="B2530" s="29" t="s">
        <v>1756</v>
      </c>
      <c r="C2530" s="29" t="str">
        <f ca="1">IFERROR(__xludf.DUMMYFUNCTION("GOOGLETRANSLATE(C6120,""en"",""hr"")"),"Ventil za kontrolu protoka")</f>
        <v>Ventil za kontrolu protoka</v>
      </c>
      <c r="D2530" s="28" t="s">
        <v>11</v>
      </c>
      <c r="E2530" s="29">
        <v>1</v>
      </c>
      <c r="F2530" s="17"/>
    </row>
    <row r="2531" spans="1:9" ht="25.5" customHeight="1" x14ac:dyDescent="0.2">
      <c r="A2531" s="27">
        <v>2529</v>
      </c>
      <c r="B2531" s="29" t="s">
        <v>1747</v>
      </c>
      <c r="C2531" s="29" t="str">
        <f ca="1">IFERROR(__xludf.DUMMYFUNCTION("GOOGLETRANSLATE(C6109,""en"",""hr"")"),"Regulator tlaka")</f>
        <v>Regulator tlaka</v>
      </c>
      <c r="D2531" s="28" t="s">
        <v>11</v>
      </c>
      <c r="E2531" s="29">
        <v>1</v>
      </c>
      <c r="F2531" s="17"/>
    </row>
    <row r="2532" spans="1:9" ht="25.5" customHeight="1" x14ac:dyDescent="0.2">
      <c r="A2532" s="27">
        <v>2530</v>
      </c>
      <c r="B2532" s="29" t="s">
        <v>1753</v>
      </c>
      <c r="C2532" s="29" t="str">
        <f ca="1">IFERROR(__xludf.DUMMYFUNCTION("GOOGLETRANSLATE(C6116,""en"",""hr"")"),"uložak")</f>
        <v>uložak</v>
      </c>
      <c r="D2532" s="28" t="s">
        <v>11</v>
      </c>
      <c r="E2532" s="29">
        <v>1</v>
      </c>
      <c r="F2532" s="17"/>
    </row>
    <row r="2533" spans="1:9" ht="25.5" customHeight="1" x14ac:dyDescent="0.2">
      <c r="A2533" s="27">
        <v>2531</v>
      </c>
      <c r="B2533" s="29" t="s">
        <v>1744</v>
      </c>
      <c r="C2533" s="29" t="str">
        <f ca="1">IFERROR(__xludf.DUMMYFUNCTION("GOOGLETRANSLATE(C6106,""en"",""hr"")"),"Ventil")</f>
        <v>Ventil</v>
      </c>
      <c r="D2533" s="28" t="s">
        <v>11</v>
      </c>
      <c r="E2533" s="29">
        <v>1</v>
      </c>
      <c r="F2533" s="17"/>
      <c r="I2533" s="4" t="b">
        <f>INT(F2531*100)=(F2531*100)</f>
        <v>1</v>
      </c>
    </row>
    <row r="2534" spans="1:9" ht="25.5" customHeight="1" x14ac:dyDescent="0.2">
      <c r="A2534" s="27">
        <v>2532</v>
      </c>
      <c r="B2534" s="29" t="s">
        <v>970</v>
      </c>
      <c r="C2534" s="29" t="str">
        <f ca="1">IFERROR(__xludf.DUMMYFUNCTION("GOOGLETRANSLATE(C3086,""en"",""hr"")"),"Kut za uvrtanje")</f>
        <v>Kut za uvrtanje</v>
      </c>
      <c r="D2534" s="28" t="s">
        <v>11</v>
      </c>
      <c r="E2534" s="29">
        <v>1</v>
      </c>
      <c r="F2534" s="17"/>
    </row>
    <row r="2535" spans="1:9" ht="25.5" customHeight="1" x14ac:dyDescent="0.2">
      <c r="A2535" s="27">
        <v>2533</v>
      </c>
      <c r="B2535" s="29" t="s">
        <v>1122</v>
      </c>
      <c r="C2535" s="29" t="str">
        <f ca="1">IFERROR(__xludf.DUMMYFUNCTION("GOOGLETRANSLATE(C3659,""en"",""hr"")"),"Kut za uvrtanje")</f>
        <v>Kut za uvrtanje</v>
      </c>
      <c r="D2535" s="28" t="s">
        <v>11</v>
      </c>
      <c r="E2535" s="29">
        <v>1</v>
      </c>
      <c r="F2535" s="17"/>
    </row>
    <row r="2536" spans="1:9" ht="25.5" customHeight="1" x14ac:dyDescent="0.2">
      <c r="A2536" s="27">
        <v>2534</v>
      </c>
      <c r="B2536" s="29" t="s">
        <v>627</v>
      </c>
      <c r="C2536" s="29" t="str">
        <f ca="1">IFERROR(__xludf.DUMMYFUNCTION("GOOGLETRANSLATE(C1936,""en"",""hr"")"),"Kut")</f>
        <v>Kut</v>
      </c>
      <c r="D2536" s="28" t="s">
        <v>11</v>
      </c>
      <c r="E2536" s="29">
        <v>1</v>
      </c>
      <c r="F2536" s="17"/>
    </row>
    <row r="2537" spans="1:9" ht="25.5" customHeight="1" x14ac:dyDescent="0.2">
      <c r="A2537" s="27">
        <v>2535</v>
      </c>
      <c r="B2537" s="29" t="s">
        <v>533</v>
      </c>
      <c r="C2537" s="29" t="str">
        <f ca="1">IFERROR(__xludf.DUMMYFUNCTION("GOOGLETRANSLATE(C1392,""en"",""hr"")"),"Kut")</f>
        <v>Kut</v>
      </c>
      <c r="D2537" s="28" t="s">
        <v>11</v>
      </c>
      <c r="E2537" s="29">
        <v>1</v>
      </c>
      <c r="F2537" s="17"/>
    </row>
    <row r="2538" spans="1:9" ht="25.5" customHeight="1" x14ac:dyDescent="0.2">
      <c r="A2538" s="27">
        <v>2536</v>
      </c>
      <c r="B2538" s="29" t="s">
        <v>714</v>
      </c>
      <c r="C2538" s="29" t="str">
        <f ca="1">IFERROR(__xludf.DUMMYFUNCTION("GOOGLETRANSLATE(C2253,""en"",""hr"")"),"T-utični spoj")</f>
        <v>T-utični spoj</v>
      </c>
      <c r="D2538" s="28" t="s">
        <v>11</v>
      </c>
      <c r="E2538" s="29">
        <v>1</v>
      </c>
      <c r="F2538" s="17"/>
    </row>
    <row r="2539" spans="1:9" ht="25.5" customHeight="1" x14ac:dyDescent="0.2">
      <c r="A2539" s="27">
        <v>2537</v>
      </c>
      <c r="B2539" s="29" t="s">
        <v>1064</v>
      </c>
      <c r="C2539" s="29" t="str">
        <f ca="1">IFERROR(__xludf.DUMMYFUNCTION("GOOGLETRANSLATE(C3462,""en"",""hr"")"),"T-Lancing veza")</f>
        <v>T-Lancing veza</v>
      </c>
      <c r="D2539" s="28" t="s">
        <v>11</v>
      </c>
      <c r="E2539" s="29">
        <v>1</v>
      </c>
      <c r="F2539" s="17"/>
    </row>
    <row r="2540" spans="1:9" ht="25.5" customHeight="1" x14ac:dyDescent="0.2">
      <c r="A2540" s="27">
        <v>2538</v>
      </c>
      <c r="B2540" s="29" t="s">
        <v>986</v>
      </c>
      <c r="C2540" s="29" t="str">
        <f ca="1">IFERROR(__xludf.DUMMYFUNCTION("GOOGLETRANSLATE(C3148,""en"",""hr"")"),"T-utični spoj")</f>
        <v>T-utični spoj</v>
      </c>
      <c r="D2540" s="28" t="s">
        <v>11</v>
      </c>
      <c r="E2540" s="29">
        <v>1</v>
      </c>
      <c r="F2540" s="17"/>
    </row>
    <row r="2541" spans="1:9" ht="25.5" customHeight="1" x14ac:dyDescent="0.2">
      <c r="A2541" s="27">
        <v>2539</v>
      </c>
      <c r="B2541" s="29" t="s">
        <v>960</v>
      </c>
      <c r="C2541" s="29" t="str">
        <f ca="1">IFERROR(__xludf.DUMMYFUNCTION("GOOGLETRANSLATE(C3053,""en"",""hr"")"),"Utični spoj")</f>
        <v>Utični spoj</v>
      </c>
      <c r="D2541" s="28" t="s">
        <v>11</v>
      </c>
      <c r="E2541" s="29">
        <v>1</v>
      </c>
      <c r="F2541" s="17"/>
    </row>
    <row r="2542" spans="1:9" ht="25.5" customHeight="1" x14ac:dyDescent="0.2">
      <c r="A2542" s="27">
        <v>2540</v>
      </c>
      <c r="B2542" s="29" t="s">
        <v>628</v>
      </c>
      <c r="C2542" s="29" t="str">
        <f ca="1">IFERROR(__xludf.DUMMYFUNCTION("GOOGLETRANSLATE(C1937,""en"",""hr"")"),"Pregradni utični spoj")</f>
        <v>Pregradni utični spoj</v>
      </c>
      <c r="D2542" s="28" t="s">
        <v>11</v>
      </c>
      <c r="E2542" s="29">
        <v>1</v>
      </c>
      <c r="F2542" s="17"/>
    </row>
    <row r="2543" spans="1:9" ht="25.5" customHeight="1" x14ac:dyDescent="0.2">
      <c r="A2543" s="27">
        <v>2541</v>
      </c>
      <c r="B2543" s="29" t="s">
        <v>1065</v>
      </c>
      <c r="C2543" s="29" t="str">
        <f ca="1">IFERROR(__xludf.DUMMYFUNCTION("GOOGLETRANSLATE(C3463,""en"",""hr"")"),"Pregradni utični spoj")</f>
        <v>Pregradni utični spoj</v>
      </c>
      <c r="D2543" s="28" t="s">
        <v>11</v>
      </c>
      <c r="E2543" s="29">
        <v>1</v>
      </c>
      <c r="F2543" s="17"/>
    </row>
    <row r="2544" spans="1:9" ht="25.5" customHeight="1" x14ac:dyDescent="0.2">
      <c r="A2544" s="27">
        <v>2542</v>
      </c>
      <c r="B2544" s="29" t="s">
        <v>1062</v>
      </c>
      <c r="C2544" s="29" t="str">
        <f ca="1">IFERROR(__xludf.DUMMYFUNCTION("GOOGLETRANSLATE(C3457,""en"",""hr"")"),"Utikač")</f>
        <v>Utikač</v>
      </c>
      <c r="D2544" s="28" t="s">
        <v>11</v>
      </c>
      <c r="E2544" s="29">
        <v>1</v>
      </c>
      <c r="F2544" s="17"/>
    </row>
    <row r="2545" spans="1:9" ht="25.5" customHeight="1" x14ac:dyDescent="0.2">
      <c r="A2545" s="27">
        <v>2543</v>
      </c>
      <c r="B2545" s="29" t="s">
        <v>1006</v>
      </c>
      <c r="C2545" s="29" t="str">
        <f ca="1">IFERROR(__xludf.DUMMYFUNCTION("GOOGLETRANSLATE(C3205,""en"",""hr"")"),"Ravna utična spojnica")</f>
        <v>Ravna utična spojnica</v>
      </c>
      <c r="D2545" s="28" t="s">
        <v>11</v>
      </c>
      <c r="E2545" s="29">
        <v>1</v>
      </c>
      <c r="F2545" s="17"/>
    </row>
    <row r="2546" spans="1:9" ht="25.5" customHeight="1" x14ac:dyDescent="0.2">
      <c r="A2546" s="27">
        <v>2544</v>
      </c>
      <c r="B2546" s="29" t="s">
        <v>1061</v>
      </c>
      <c r="C2546" s="29" t="str">
        <f ca="1">IFERROR(__xludf.DUMMYFUNCTION("GOOGLETRANSLATE(C3456,""en"",""hr"")"),"Traka za utičnicu")</f>
        <v>Traka za utičnicu</v>
      </c>
      <c r="D2546" s="28" t="s">
        <v>11</v>
      </c>
      <c r="E2546" s="29">
        <v>1</v>
      </c>
      <c r="F2546" s="17"/>
    </row>
    <row r="2547" spans="1:9" ht="25.5" customHeight="1" x14ac:dyDescent="0.2">
      <c r="A2547" s="27">
        <v>2545</v>
      </c>
      <c r="B2547" s="29" t="s">
        <v>534</v>
      </c>
      <c r="C2547" s="29" t="str">
        <f ca="1">IFERROR(__xludf.DUMMYFUNCTION("GOOGLETRANSLATE(C1393,""en"",""hr"")"),"Crijevo po metru")</f>
        <v>Crijevo po metru</v>
      </c>
      <c r="D2547" s="28" t="s">
        <v>11</v>
      </c>
      <c r="E2547" s="29">
        <v>1</v>
      </c>
      <c r="F2547" s="17"/>
    </row>
    <row r="2548" spans="1:9" ht="25.5" customHeight="1" x14ac:dyDescent="0.2">
      <c r="A2548" s="27">
        <v>2546</v>
      </c>
      <c r="B2548" s="29" t="s">
        <v>530</v>
      </c>
      <c r="C2548" s="29" t="str">
        <f ca="1">IFERROR(__xludf.DUMMYFUNCTION("GOOGLETRANSLATE(C1381,""en"",""hr"")"),"Cijev po metru")</f>
        <v>Cijev po metru</v>
      </c>
      <c r="D2548" s="28" t="s">
        <v>11</v>
      </c>
      <c r="E2548" s="29">
        <v>1</v>
      </c>
      <c r="F2548" s="17"/>
    </row>
    <row r="2549" spans="1:9" ht="25.5" customHeight="1" x14ac:dyDescent="0.2">
      <c r="A2549" s="27">
        <v>2547</v>
      </c>
      <c r="B2549" s="29" t="s">
        <v>531</v>
      </c>
      <c r="C2549" s="29" t="str">
        <f ca="1">IFERROR(__xludf.DUMMYFUNCTION("GOOGLETRANSLATE(C1382,""en"",""hr"")"),"Cijev po metru")</f>
        <v>Cijev po metru</v>
      </c>
      <c r="D2549" s="28" t="s">
        <v>11</v>
      </c>
      <c r="E2549" s="29">
        <v>1</v>
      </c>
      <c r="F2549" s="17"/>
    </row>
    <row r="2550" spans="1:9" ht="25.5" customHeight="1" x14ac:dyDescent="0.2">
      <c r="A2550" s="27">
        <v>2548</v>
      </c>
      <c r="B2550" s="29" t="s">
        <v>1234</v>
      </c>
      <c r="C2550" s="29" t="str">
        <f ca="1">IFERROR(__xludf.DUMMYFUNCTION("GOOGLETRANSLATE(C3922,""en"",""hr"")"),"Link")</f>
        <v>Link</v>
      </c>
      <c r="D2550" s="28" t="s">
        <v>11</v>
      </c>
      <c r="E2550" s="29">
        <v>1</v>
      </c>
      <c r="F2550" s="17"/>
    </row>
    <row r="2551" spans="1:9" ht="25.5" customHeight="1" x14ac:dyDescent="0.2">
      <c r="A2551" s="27">
        <v>2549</v>
      </c>
      <c r="B2551" s="29" t="s">
        <v>971</v>
      </c>
      <c r="C2551" s="29" t="str">
        <f ca="1">IFERROR(__xludf.DUMMYFUNCTION("GOOGLETRANSLATE(C3087,""en"",""hr"")"),"Redukcijski rukavac")</f>
        <v>Redukcijski rukavac</v>
      </c>
      <c r="D2551" s="28" t="s">
        <v>11</v>
      </c>
      <c r="E2551" s="29">
        <v>1</v>
      </c>
      <c r="F2551" s="17"/>
    </row>
    <row r="2552" spans="1:9" ht="25.5" customHeight="1" x14ac:dyDescent="0.2">
      <c r="A2552" s="27">
        <v>2550</v>
      </c>
      <c r="B2552" s="29" t="s">
        <v>1472</v>
      </c>
      <c r="C2552" s="29" t="str">
        <f ca="1">IFERROR(__xludf.DUMMYFUNCTION("GOOGLETRANSLATE(C4937,""en"",""hr"")"),"Slijepa zakovica")</f>
        <v>Slijepa zakovica</v>
      </c>
      <c r="D2552" s="28" t="s">
        <v>11</v>
      </c>
      <c r="E2552" s="29">
        <v>1</v>
      </c>
      <c r="F2552" s="17"/>
      <c r="I2552" s="4" t="b">
        <f>INT(F2550*100)=(F2550*100)</f>
        <v>1</v>
      </c>
    </row>
    <row r="2553" spans="1:9" ht="25.5" customHeight="1" x14ac:dyDescent="0.2">
      <c r="A2553" s="27">
        <v>2551</v>
      </c>
      <c r="B2553" s="29" t="s">
        <v>1584</v>
      </c>
      <c r="C2553" s="29" t="str">
        <f ca="1">IFERROR(__xludf.DUMMYFUNCTION("GOOGLETRANSLATE(C5359,""en"",""hr"")"),"Slijepa zakovica")</f>
        <v>Slijepa zakovica</v>
      </c>
      <c r="D2553" s="28" t="s">
        <v>11</v>
      </c>
      <c r="E2553" s="29">
        <v>1</v>
      </c>
      <c r="F2553" s="17"/>
    </row>
    <row r="2554" spans="1:9" ht="25.5" customHeight="1" x14ac:dyDescent="0.2">
      <c r="A2554" s="27">
        <v>2552</v>
      </c>
      <c r="B2554" s="29" t="s">
        <v>1221</v>
      </c>
      <c r="C2554" s="29" t="str">
        <f ca="1">IFERROR(__xludf.DUMMYFUNCTION("GOOGLETRANSLATE(C3862,""en"",""hr"")"),"Slijepa zakovica")</f>
        <v>Slijepa zakovica</v>
      </c>
      <c r="D2554" s="28" t="s">
        <v>11</v>
      </c>
      <c r="E2554" s="29">
        <v>1</v>
      </c>
      <c r="F2554" s="17"/>
    </row>
    <row r="2555" spans="1:9" ht="25.5" customHeight="1" x14ac:dyDescent="0.2">
      <c r="A2555" s="27">
        <v>2553</v>
      </c>
      <c r="B2555" s="29" t="s">
        <v>1522</v>
      </c>
      <c r="C2555" s="29" t="str">
        <f ca="1">IFERROR(__xludf.DUMMYFUNCTION("GOOGLETRANSLATE(C5161,""en"",""hr"")"),"Slijepa zakovica")</f>
        <v>Slijepa zakovica</v>
      </c>
      <c r="D2555" s="28" t="s">
        <v>11</v>
      </c>
      <c r="E2555" s="29">
        <v>1</v>
      </c>
      <c r="F2555" s="17"/>
      <c r="I2555" s="4" t="b">
        <f>INT(F2553*100)=(F2553*100)</f>
        <v>1</v>
      </c>
    </row>
    <row r="2556" spans="1:9" ht="25.5" customHeight="1" x14ac:dyDescent="0.2">
      <c r="A2556" s="27">
        <v>2554</v>
      </c>
      <c r="B2556" s="29" t="s">
        <v>1400</v>
      </c>
      <c r="C2556" s="29" t="str">
        <f ca="1">IFERROR(__xludf.DUMMYFUNCTION("GOOGLETRANSLATE(C4537,""en"",""hr"")"),"Slijepa zakovica")</f>
        <v>Slijepa zakovica</v>
      </c>
      <c r="D2556" s="28" t="s">
        <v>11</v>
      </c>
      <c r="E2556" s="29">
        <v>1</v>
      </c>
      <c r="F2556" s="17"/>
    </row>
    <row r="2557" spans="1:9" ht="25.5" customHeight="1" x14ac:dyDescent="0.2">
      <c r="A2557" s="27">
        <v>2555</v>
      </c>
      <c r="B2557" s="29" t="s">
        <v>2017</v>
      </c>
      <c r="C2557" s="29" t="str">
        <f ca="1">IFERROR(__xludf.DUMMYFUNCTION("GOOGLETRANSLATE(C6824,""en"",""hr"")"),"Slijepa zakovica")</f>
        <v>Slijepa zakovica</v>
      </c>
      <c r="D2557" s="28" t="s">
        <v>11</v>
      </c>
      <c r="E2557" s="29">
        <v>1</v>
      </c>
      <c r="F2557" s="17"/>
    </row>
    <row r="2558" spans="1:9" ht="25.5" customHeight="1" x14ac:dyDescent="0.2">
      <c r="A2558" s="27">
        <v>2556</v>
      </c>
      <c r="B2558" s="29" t="s">
        <v>1244</v>
      </c>
      <c r="C2558" s="29" t="str">
        <f ca="1">IFERROR(__xludf.DUMMYFUNCTION("GOOGLETRANSLATE(C3950,""en"",""hr"")"),"Vijčani spoj crijeva")</f>
        <v>Vijčani spoj crijeva</v>
      </c>
      <c r="D2558" s="28" t="s">
        <v>11</v>
      </c>
      <c r="E2558" s="29">
        <v>1</v>
      </c>
      <c r="F2558" s="17"/>
    </row>
    <row r="2559" spans="1:9" ht="25.5" customHeight="1" x14ac:dyDescent="0.2">
      <c r="A2559" s="27">
        <v>2557</v>
      </c>
      <c r="B2559" s="29" t="s">
        <v>1311</v>
      </c>
      <c r="C2559" s="29" t="str">
        <f ca="1">IFERROR(__xludf.DUMMYFUNCTION("GOOGLETRANSLATE(C4138,""en"",""hr"")"),"Vijčani spoj crijeva")</f>
        <v>Vijčani spoj crijeva</v>
      </c>
      <c r="D2559" s="28" t="s">
        <v>11</v>
      </c>
      <c r="E2559" s="29">
        <v>1</v>
      </c>
      <c r="F2559" s="17"/>
      <c r="I2559" s="4" t="b">
        <f>INT(F2557*100)=(F2557*100)</f>
        <v>1</v>
      </c>
    </row>
    <row r="2560" spans="1:9" ht="25.5" customHeight="1" x14ac:dyDescent="0.2">
      <c r="A2560" s="27">
        <v>2558</v>
      </c>
      <c r="B2560" s="29" t="s">
        <v>1121</v>
      </c>
      <c r="C2560" s="29" t="str">
        <f ca="1">IFERROR(__xludf.DUMMYFUNCTION("GOOGLETRANSLATE(C3656,""en"",""hr"")"),"Dvostruka bradavica")</f>
        <v>Dvostruka bradavica</v>
      </c>
      <c r="D2560" s="28" t="s">
        <v>11</v>
      </c>
      <c r="E2560" s="29">
        <v>1</v>
      </c>
      <c r="F2560" s="17"/>
    </row>
    <row r="2561" spans="1:6" ht="25.5" customHeight="1" x14ac:dyDescent="0.2">
      <c r="A2561" s="27">
        <v>2559</v>
      </c>
      <c r="B2561" s="29" t="s">
        <v>626</v>
      </c>
      <c r="C2561" s="29" t="str">
        <f ca="1">IFERROR(__xludf.DUMMYFUNCTION("GOOGLETRANSLATE(C1935,""en"",""hr"")"),"Crijevo po metru")</f>
        <v>Crijevo po metru</v>
      </c>
      <c r="D2561" s="28" t="s">
        <v>11</v>
      </c>
      <c r="E2561" s="29">
        <v>1</v>
      </c>
      <c r="F2561" s="17"/>
    </row>
    <row r="2562" spans="1:6" ht="25.5" customHeight="1" x14ac:dyDescent="0.2">
      <c r="A2562" s="27">
        <v>2560</v>
      </c>
      <c r="B2562" s="29" t="s">
        <v>372</v>
      </c>
      <c r="C2562" s="29" t="str">
        <f ca="1">IFERROR(__xludf.DUMMYFUNCTION("GOOGLETRANSLATE(C845,""en"",""hr"")"),"Uvrtni spoj")</f>
        <v>Uvrtni spoj</v>
      </c>
      <c r="D2562" s="28" t="s">
        <v>11</v>
      </c>
      <c r="E2562" s="29">
        <v>1</v>
      </c>
      <c r="F2562" s="17"/>
    </row>
    <row r="2563" spans="1:6" ht="25.5" customHeight="1" x14ac:dyDescent="0.2">
      <c r="A2563" s="27">
        <v>2561</v>
      </c>
      <c r="B2563" s="29" t="s">
        <v>371</v>
      </c>
      <c r="C2563" s="29" t="str">
        <f ca="1">IFERROR(__xludf.DUMMYFUNCTION("GOOGLETRANSLATE(C844,""en"",""hr"")"),"Uvrtni spoj")</f>
        <v>Uvrtni spoj</v>
      </c>
      <c r="D2563" s="28" t="s">
        <v>11</v>
      </c>
      <c r="E2563" s="29">
        <v>1</v>
      </c>
      <c r="F2563" s="17"/>
    </row>
    <row r="2564" spans="1:6" ht="25.5" customHeight="1" x14ac:dyDescent="0.2">
      <c r="A2564" s="27">
        <v>2562</v>
      </c>
      <c r="B2564" s="29" t="s">
        <v>351</v>
      </c>
      <c r="C2564" s="29" t="str">
        <f ca="1">IFERROR(__xludf.DUMMYFUNCTION("GOOGLETRANSLATE(C805,""en"",""hr"")"),"Veza")</f>
        <v>Veza</v>
      </c>
      <c r="D2564" s="28" t="s">
        <v>11</v>
      </c>
      <c r="E2564" s="29">
        <v>1</v>
      </c>
      <c r="F2564" s="17"/>
    </row>
    <row r="2565" spans="1:6" ht="25.5" customHeight="1" x14ac:dyDescent="0.2">
      <c r="A2565" s="27">
        <v>2563</v>
      </c>
      <c r="B2565" s="29" t="s">
        <v>363</v>
      </c>
      <c r="C2565" s="29" t="str">
        <f ca="1">IFERROR(__xludf.DUMMYFUNCTION("GOOGLETRANSLATE(C821,""en"",""hr"")"),"Uvrtna bradavica")</f>
        <v>Uvrtna bradavica</v>
      </c>
      <c r="D2565" s="28" t="s">
        <v>11</v>
      </c>
      <c r="E2565" s="29">
        <v>1</v>
      </c>
      <c r="F2565" s="17"/>
    </row>
    <row r="2566" spans="1:6" ht="25.5" customHeight="1" x14ac:dyDescent="0.2">
      <c r="A2566" s="27">
        <v>2564</v>
      </c>
      <c r="B2566" s="29" t="s">
        <v>373</v>
      </c>
      <c r="C2566" s="29" t="str">
        <f ca="1">IFERROR(__xludf.DUMMYFUNCTION("GOOGLETRANSLATE(C847,""en"",""hr"")"),"Uvrtna bradavica")</f>
        <v>Uvrtna bradavica</v>
      </c>
      <c r="D2566" s="28" t="s">
        <v>11</v>
      </c>
      <c r="E2566" s="29">
        <v>1</v>
      </c>
      <c r="F2566" s="17"/>
    </row>
    <row r="2567" spans="1:6" ht="25.5" customHeight="1" x14ac:dyDescent="0.2">
      <c r="A2567" s="27">
        <v>2565</v>
      </c>
      <c r="B2567" s="29" t="s">
        <v>364</v>
      </c>
      <c r="C2567" s="29" t="str">
        <f ca="1">IFERROR(__xludf.DUMMYFUNCTION("GOOGLETRANSLATE(C822,""en"",""hr"")"),"Čahura")</f>
        <v>Čahura</v>
      </c>
      <c r="D2567" s="28" t="s">
        <v>11</v>
      </c>
      <c r="E2567" s="29">
        <v>1</v>
      </c>
      <c r="F2567" s="17"/>
    </row>
    <row r="2568" spans="1:6" ht="25.5" customHeight="1" x14ac:dyDescent="0.2">
      <c r="A2568" s="27">
        <v>2566</v>
      </c>
      <c r="B2568" s="29" t="s">
        <v>131</v>
      </c>
      <c r="C2568" s="29" t="str">
        <f ca="1">IFERROR(__xludf.DUMMYFUNCTION("GOOGLETRANSLATE(C267,""en"",""hr"")"),"Komplet potrošnih dijelova usisni sustav CC21")</f>
        <v>Komplet potrošnih dijelova usisni sustav CC21</v>
      </c>
      <c r="D2568" s="28" t="s">
        <v>11</v>
      </c>
      <c r="E2568" s="29">
        <v>1</v>
      </c>
      <c r="F2568" s="17"/>
    </row>
    <row r="2569" spans="1:6" ht="25.5" customHeight="1" x14ac:dyDescent="0.2">
      <c r="A2569" s="27">
        <v>2567</v>
      </c>
      <c r="B2569" s="29" t="s">
        <v>132</v>
      </c>
      <c r="C2569" s="29" t="str">
        <f ca="1">IFERROR(__xludf.DUMMYFUNCTION("GOOGLETRANSLATE(C268,""en"",""hr"")"),"Komplet potrošnih dijelova usisni sustav CC21 mali")</f>
        <v>Komplet potrošnih dijelova usisni sustav CC21 mali</v>
      </c>
      <c r="D2569" s="28" t="s">
        <v>11</v>
      </c>
      <c r="E2569" s="29">
        <v>1</v>
      </c>
      <c r="F2569" s="17"/>
    </row>
    <row r="2570" spans="1:6" ht="25.5" customHeight="1" x14ac:dyDescent="0.2">
      <c r="A2570" s="27">
        <v>2568</v>
      </c>
      <c r="B2570" s="29" t="s">
        <v>139</v>
      </c>
      <c r="C2570" s="29" t="str">
        <f ca="1">IFERROR(__xludf.DUMMYFUNCTION("GOOGLETRANSLATE(C275,""en"",""hr"")"),"Servisni kit CityCat V20 EU6D / 500 sati")</f>
        <v>Servisni kit CityCat V20 EU6D / 500 sati</v>
      </c>
      <c r="D2570" s="28" t="s">
        <v>11</v>
      </c>
      <c r="E2570" s="29">
        <v>1</v>
      </c>
      <c r="F2570" s="17"/>
    </row>
    <row r="2571" spans="1:6" ht="25.5" customHeight="1" x14ac:dyDescent="0.2">
      <c r="A2571" s="27">
        <v>2569</v>
      </c>
      <c r="B2571" s="29" t="s">
        <v>140</v>
      </c>
      <c r="C2571" s="29" t="str">
        <f ca="1">IFERROR(__xludf.DUMMYFUNCTION("GOOGLETRANSLATE(C276,""en"",""hr"")"),"Servisni kit CityCat V20 EU6D / 1000 sati (5 utora; do br. motora:&lt;br&gt;60D/21227)")</f>
        <v>Servisni kit CityCat V20 EU6D / 1000 sati (5 utora; do br. motora:&lt;br&gt;60D/21227)</v>
      </c>
      <c r="D2571" s="28" t="s">
        <v>11</v>
      </c>
      <c r="E2571" s="29">
        <v>1</v>
      </c>
      <c r="F2571" s="17"/>
    </row>
    <row r="2572" spans="1:6" ht="25.5" customHeight="1" x14ac:dyDescent="0.2">
      <c r="A2572" s="27">
        <v>2570</v>
      </c>
      <c r="B2572" s="29" t="s">
        <v>142</v>
      </c>
      <c r="C2572" s="29" t="str">
        <f ca="1">IFERROR(__xludf.DUMMYFUNCTION("GOOGLETRANSLATE(C278,""en"",""hr"")"),"Servisni kit CityCat V20 EU6D / 1500 sati")</f>
        <v>Servisni kit CityCat V20 EU6D / 1500 sati</v>
      </c>
      <c r="D2572" s="28" t="s">
        <v>11</v>
      </c>
      <c r="E2572" s="29">
        <v>1</v>
      </c>
      <c r="F2572" s="17"/>
    </row>
    <row r="2573" spans="1:6" ht="25.5" customHeight="1" x14ac:dyDescent="0.2">
      <c r="A2573" s="27">
        <v>2571</v>
      </c>
      <c r="B2573" s="29" t="s">
        <v>143</v>
      </c>
      <c r="C2573" s="29" t="str">
        <f ca="1">IFERROR(__xludf.DUMMYFUNCTION("GOOGLETRANSLATE(C279,""en"",""hr"")"),"Servisni kit CityCat V20 EU6D / 2000 sati (5 utora; do br. motora:&lt;br&gt;60D/21227)")</f>
        <v>Servisni kit CityCat V20 EU6D / 2000 sati (5 utora; do br. motora:&lt;br&gt;60D/21227)</v>
      </c>
      <c r="D2573" s="28" t="s">
        <v>11</v>
      </c>
      <c r="E2573" s="29">
        <v>1</v>
      </c>
      <c r="F2573" s="17"/>
    </row>
    <row r="2574" spans="1:6" ht="25.5" customHeight="1" x14ac:dyDescent="0.2">
      <c r="A2574" s="27">
        <v>2572</v>
      </c>
      <c r="B2574" s="29" t="s">
        <v>134</v>
      </c>
      <c r="C2574" s="29" t="str">
        <f ca="1">IFERROR(__xludf.DUMMYFUNCTION("GOOGLETRANSLATE(C270,""en"",""hr"")"),"Servisni kit CC21 električna verzija 1000 sati, (RGB1)")</f>
        <v>Servisni kit CC21 električna verzija 1000 sati, (RGB1)</v>
      </c>
      <c r="D2574" s="28" t="s">
        <v>11</v>
      </c>
      <c r="E2574" s="29">
        <v>1</v>
      </c>
      <c r="F2574" s="17"/>
    </row>
    <row r="2575" spans="1:6" ht="25.5" customHeight="1" x14ac:dyDescent="0.2">
      <c r="A2575" s="27">
        <v>2573</v>
      </c>
      <c r="B2575" s="29" t="s">
        <v>133</v>
      </c>
      <c r="C2575" s="29" t="str">
        <f ca="1">IFERROR(__xludf.DUMMYFUNCTION("GOOGLETRANSLATE(C269,""en"",""hr"")"),"Servisni set CC21 A/C")</f>
        <v>Servisni set CC21 A/C</v>
      </c>
      <c r="D2575" s="28" t="s">
        <v>11</v>
      </c>
      <c r="E2575" s="29">
        <v>1</v>
      </c>
      <c r="F2575" s="17"/>
    </row>
    <row r="2576" spans="1:6" ht="25.5" customHeight="1" x14ac:dyDescent="0.2">
      <c r="A2576" s="27">
        <v>2574</v>
      </c>
      <c r="B2576" s="29" t="s">
        <v>135</v>
      </c>
      <c r="C2576" s="29" t="str">
        <f ca="1">IFERROR(__xludf.DUMMYFUNCTION("GOOGLETRANSLATE(C271,""en"",""hr"")"),"Servisni kit CC21 električna verzija 1000 sati, (RGB2)")</f>
        <v>Servisni kit CC21 električna verzija 1000 sati, (RGB2)</v>
      </c>
      <c r="D2576" s="28" t="s">
        <v>11</v>
      </c>
      <c r="E2576" s="29">
        <v>1</v>
      </c>
      <c r="F2576" s="17"/>
    </row>
    <row r="2577" spans="1:9" ht="25.5" customHeight="1" x14ac:dyDescent="0.2">
      <c r="A2577" s="27">
        <v>2575</v>
      </c>
      <c r="B2577" s="29" t="s">
        <v>136</v>
      </c>
      <c r="C2577" s="29" t="str">
        <f ca="1">IFERROR(__xludf.DUMMYFUNCTION("GOOGLETRANSLATE(C272,""en"",""hr"")"),"Servisni kit CC21 Stage V / IIIA - 500 sati")</f>
        <v>Servisni kit CC21 Stage V / IIIA - 500 sati</v>
      </c>
      <c r="D2577" s="28" t="s">
        <v>11</v>
      </c>
      <c r="E2577" s="29">
        <v>1</v>
      </c>
      <c r="F2577" s="17"/>
      <c r="I2577" s="4" t="b">
        <f>INT(F2575*100)=(F2575*100)</f>
        <v>1</v>
      </c>
    </row>
    <row r="2578" spans="1:9" ht="25.5" customHeight="1" x14ac:dyDescent="0.2">
      <c r="A2578" s="27">
        <v>2576</v>
      </c>
      <c r="B2578" s="29" t="s">
        <v>137</v>
      </c>
      <c r="C2578" s="29" t="str">
        <f ca="1">IFERROR(__xludf.DUMMYFUNCTION("GOOGLETRANSLATE(C273,""en"",""hr"")"),"Servisni kit CC21 Stage V / IIIA - 1000 sati")</f>
        <v>Servisni kit CC21 Stage V / IIIA - 1000 sati</v>
      </c>
      <c r="D2578" s="28" t="s">
        <v>11</v>
      </c>
      <c r="E2578" s="29">
        <v>1</v>
      </c>
      <c r="F2578" s="17"/>
    </row>
    <row r="2579" spans="1:9" ht="25.5" customHeight="1" x14ac:dyDescent="0.2">
      <c r="A2579" s="27">
        <v>2577</v>
      </c>
      <c r="B2579" s="29" t="s">
        <v>138</v>
      </c>
      <c r="C2579" s="29" t="str">
        <f ca="1">IFERROR(__xludf.DUMMYFUNCTION("GOOGLETRANSLATE(C274,""en"",""hr"")"),"Servisni kit CC21 Stage V / IIIA - 2000 sati")</f>
        <v>Servisni kit CC21 Stage V / IIIA - 2000 sati</v>
      </c>
      <c r="D2579" s="28" t="s">
        <v>11</v>
      </c>
      <c r="E2579" s="29">
        <v>1</v>
      </c>
      <c r="F2579" s="17"/>
    </row>
    <row r="2580" spans="1:9" ht="25.5" customHeight="1" x14ac:dyDescent="0.2">
      <c r="A2580" s="27">
        <v>2578</v>
      </c>
      <c r="B2580" s="29" t="s">
        <v>141</v>
      </c>
      <c r="C2580" s="29" t="str">
        <f ca="1">IFERROR(__xludf.DUMMYFUNCTION("GOOGLETRANSLATE(C277,""en"",""hr"")"),"Servisni kit CityCat V20 EU6D / 1000 sati (6 utora; od br. motora:&lt;br&gt;60D/21228)")</f>
        <v>Servisni kit CityCat V20 EU6D / 1000 sati (6 utora; od br. motora:&lt;br&gt;60D/21228)</v>
      </c>
      <c r="D2580" s="28" t="s">
        <v>11</v>
      </c>
      <c r="E2580" s="29">
        <v>1</v>
      </c>
      <c r="F2580" s="17"/>
      <c r="I2580" s="4" t="b">
        <f>INT(F2578*100)=(F2578*100)</f>
        <v>1</v>
      </c>
    </row>
    <row r="2581" spans="1:9" ht="25.5" customHeight="1" x14ac:dyDescent="0.2">
      <c r="A2581" s="27">
        <v>2579</v>
      </c>
      <c r="B2581" s="29" t="s">
        <v>144</v>
      </c>
      <c r="C2581" s="29" t="str">
        <f ca="1">IFERROR(__xludf.DUMMYFUNCTION("GOOGLETRANSLATE(C280,""en"",""hr"")"),"Servisni kit CityCat V20 EU6D / 2000 sati (6 utora; od br. motora:&lt;br&gt;60D/21228)")</f>
        <v>Servisni kit CityCat V20 EU6D / 2000 sati (6 utora; od br. motora:&lt;br&gt;60D/21228)</v>
      </c>
      <c r="D2581" s="28" t="s">
        <v>11</v>
      </c>
      <c r="E2581" s="29">
        <v>1</v>
      </c>
      <c r="F2581" s="17"/>
    </row>
    <row r="2582" spans="1:9" ht="25.5" customHeight="1" x14ac:dyDescent="0.2">
      <c r="A2582" s="27">
        <v>2580</v>
      </c>
      <c r="B2582" s="29" t="s">
        <v>1351</v>
      </c>
      <c r="C2582" s="29" t="str">
        <f ca="1">IFERROR(__xludf.DUMMYFUNCTION("GOOGLETRANSLATE(C4282,""en"",""hr"")"),"Lančana zavjesa kpl.")</f>
        <v>Lančana zavjesa kpl.</v>
      </c>
      <c r="D2582" s="28" t="s">
        <v>11</v>
      </c>
      <c r="E2582" s="29">
        <v>1</v>
      </c>
      <c r="F2582" s="17"/>
    </row>
    <row r="2583" spans="1:9" ht="25.5" customHeight="1" x14ac:dyDescent="0.2">
      <c r="A2583" s="27">
        <v>2581</v>
      </c>
      <c r="B2583" s="29" t="s">
        <v>1350</v>
      </c>
      <c r="C2583" s="29" t="str">
        <f ca="1">IFERROR(__xludf.DUMMYFUNCTION("GOOGLETRANSLATE(C4279,""en"",""hr"")"),"Deflektor cpl., ojačan")</f>
        <v>Deflektor cpl., ojačan</v>
      </c>
      <c r="D2583" s="28" t="s">
        <v>11</v>
      </c>
      <c r="E2583" s="29">
        <v>1</v>
      </c>
      <c r="F2583" s="17"/>
    </row>
    <row r="2584" spans="1:9" ht="25.5" customHeight="1" x14ac:dyDescent="0.2">
      <c r="A2584" s="27">
        <v>2582</v>
      </c>
      <c r="B2584" s="29" t="s">
        <v>1457</v>
      </c>
      <c r="C2584" s="29" t="str">
        <f ca="1">IFERROR(__xludf.DUMMYFUNCTION("GOOGLETRANSLATE(C4775,""en"",""hr"")"),"Komplet za preinaku prekidač KGB CC21")</f>
        <v>Komplet za preinaku prekidač KGB CC21</v>
      </c>
      <c r="D2584" s="28" t="s">
        <v>11</v>
      </c>
      <c r="E2584" s="29">
        <v>1</v>
      </c>
      <c r="F2584" s="17"/>
      <c r="I2584" s="4" t="b">
        <f>INT(F2582*100)=(F2582*100)</f>
        <v>1</v>
      </c>
    </row>
    <row r="2585" spans="1:9" ht="25.5" customHeight="1" x14ac:dyDescent="0.2">
      <c r="A2585" s="27">
        <v>2583</v>
      </c>
      <c r="B2585" s="29" t="s">
        <v>556</v>
      </c>
      <c r="C2585" s="29" t="str">
        <f ca="1">IFERROR(__xludf.DUMMYFUNCTION("GOOGLETRANSLATE(C1523,""en"",""hr"")"),"Klimakompressor")</f>
        <v>Klimakompressor</v>
      </c>
      <c r="D2585" s="28" t="s">
        <v>11</v>
      </c>
      <c r="E2585" s="29">
        <v>1</v>
      </c>
      <c r="F2585" s="17"/>
    </row>
    <row r="2586" spans="1:9" ht="25.5" customHeight="1" x14ac:dyDescent="0.2">
      <c r="A2586" s="27">
        <v>2584</v>
      </c>
      <c r="B2586" s="29" t="s">
        <v>1654</v>
      </c>
      <c r="C2586" s="29" t="str">
        <f ca="1">IFERROR(__xludf.DUMMYFUNCTION("GOOGLETRANSLATE(C5630,""en"",""hr"")"),"Kompresor klime")</f>
        <v>Kompresor klime</v>
      </c>
      <c r="D2586" s="28" t="s">
        <v>11</v>
      </c>
      <c r="E2586" s="29">
        <v>1</v>
      </c>
      <c r="F2586" s="17"/>
    </row>
    <row r="2587" spans="1:9" ht="25.5" customHeight="1" x14ac:dyDescent="0.2">
      <c r="A2587" s="27">
        <v>2585</v>
      </c>
      <c r="B2587" s="29" t="s">
        <v>1114</v>
      </c>
      <c r="C2587" s="29" t="str">
        <f ca="1">IFERROR(__xludf.DUMMYFUNCTION("GOOGLETRANSLATE(C3602,""en"",""hr"")"),"Odvod vode cmpl.")</f>
        <v>Odvod vode cmpl.</v>
      </c>
      <c r="D2587" s="28" t="s">
        <v>11</v>
      </c>
      <c r="E2587" s="29">
        <v>1</v>
      </c>
      <c r="F2587" s="17"/>
    </row>
    <row r="2588" spans="1:9" ht="25.5" customHeight="1" x14ac:dyDescent="0.2">
      <c r="A2588" s="27">
        <v>2586</v>
      </c>
      <c r="B2588" s="29" t="s">
        <v>641</v>
      </c>
      <c r="C2588" s="29" t="str">
        <f ca="1">IFERROR(__xludf.DUMMYFUNCTION("GOOGLETRANSLATE(C1981,""en"",""hr"")"),"Prirubnica kpl.")</f>
        <v>Prirubnica kpl.</v>
      </c>
      <c r="D2588" s="28" t="s">
        <v>11</v>
      </c>
      <c r="E2588" s="29">
        <v>1</v>
      </c>
      <c r="F2588" s="17"/>
    </row>
    <row r="2589" spans="1:9" ht="25.5" customHeight="1" x14ac:dyDescent="0.2">
      <c r="A2589" s="27">
        <v>2587</v>
      </c>
      <c r="B2589" s="29" t="s">
        <v>328</v>
      </c>
      <c r="C2589" s="29" t="str">
        <f ca="1">IFERROR(__xludf.DUMMYFUNCTION("GOOGLETRANSLATE(C744,""en"",""hr"")"),"Set za popravak")</f>
        <v>Set za popravak</v>
      </c>
      <c r="D2589" s="28" t="s">
        <v>11</v>
      </c>
      <c r="E2589" s="29">
        <v>1</v>
      </c>
      <c r="F2589" s="17"/>
    </row>
    <row r="2590" spans="1:9" ht="25.5" customHeight="1" x14ac:dyDescent="0.2">
      <c r="A2590" s="27">
        <v>2588</v>
      </c>
      <c r="B2590" s="29" t="s">
        <v>329</v>
      </c>
      <c r="C2590" s="29" t="str">
        <f ca="1">IFERROR(__xludf.DUMMYFUNCTION("GOOGLETRANSLATE(C745,""en"",""hr"")"),"Set za popravak")</f>
        <v>Set za popravak</v>
      </c>
      <c r="D2590" s="28" t="s">
        <v>11</v>
      </c>
      <c r="E2590" s="29">
        <v>1</v>
      </c>
      <c r="F2590" s="17"/>
    </row>
    <row r="2591" spans="1:9" ht="25.5" customHeight="1" x14ac:dyDescent="0.2">
      <c r="A2591" s="27">
        <v>2589</v>
      </c>
      <c r="B2591" s="29" t="s">
        <v>344</v>
      </c>
      <c r="C2591" s="29" t="str">
        <f ca="1">IFERROR(__xludf.DUMMYFUNCTION("GOOGLETRANSLATE(C772,""en"",""hr"")"),"Set za popravak")</f>
        <v>Set za popravak</v>
      </c>
      <c r="D2591" s="28" t="s">
        <v>11</v>
      </c>
      <c r="E2591" s="29">
        <v>1</v>
      </c>
      <c r="F2591" s="17"/>
    </row>
    <row r="2592" spans="1:9" ht="25.5" customHeight="1" x14ac:dyDescent="0.2">
      <c r="A2592" s="27">
        <v>2590</v>
      </c>
      <c r="B2592" s="29" t="s">
        <v>1643</v>
      </c>
      <c r="C2592" s="29" t="str">
        <f ca="1">IFERROR(__xludf.DUMMYFUNCTION("GOOGLETRANSLATE(C5549,""en"",""hr"")"),"Komplet ventila")</f>
        <v>Komplet ventila</v>
      </c>
      <c r="D2592" s="28" t="s">
        <v>11</v>
      </c>
      <c r="E2592" s="29">
        <v>1</v>
      </c>
      <c r="F2592" s="17"/>
    </row>
    <row r="2593" spans="1:9" ht="25.5" customHeight="1" x14ac:dyDescent="0.2">
      <c r="A2593" s="27">
        <v>2591</v>
      </c>
      <c r="B2593" s="29" t="s">
        <v>1644</v>
      </c>
      <c r="C2593" s="29" t="str">
        <f ca="1">IFERROR(__xludf.DUMMYFUNCTION("GOOGLETRANSLATE(C5552,""en"",""hr"")"),"Komplet brtvi za izmjenjivač topline")</f>
        <v>Komplet brtvi za izmjenjivač topline</v>
      </c>
      <c r="D2593" s="28" t="s">
        <v>11</v>
      </c>
      <c r="E2593" s="29">
        <v>1</v>
      </c>
      <c r="F2593" s="17"/>
    </row>
    <row r="2594" spans="1:9" ht="25.5" customHeight="1" x14ac:dyDescent="0.2">
      <c r="A2594" s="27">
        <v>2592</v>
      </c>
      <c r="B2594" s="29" t="s">
        <v>555</v>
      </c>
      <c r="C2594" s="29" t="str">
        <f ca="1">IFERROR(__xludf.DUMMYFUNCTION("GOOGLETRANSLATE(C1521,""en"",""hr"")"),"Pokretač")</f>
        <v>Pokretač</v>
      </c>
      <c r="D2594" s="28" t="s">
        <v>11</v>
      </c>
      <c r="E2594" s="29">
        <v>1</v>
      </c>
      <c r="F2594" s="17"/>
    </row>
    <row r="2595" spans="1:9" ht="25.5" customHeight="1" x14ac:dyDescent="0.2">
      <c r="A2595" s="27">
        <v>2593</v>
      </c>
      <c r="B2595" s="29" t="s">
        <v>1602</v>
      </c>
      <c r="C2595" s="29" t="str">
        <f ca="1">IFERROR(__xludf.DUMMYFUNCTION("GOOGLETRANSLATE(C5442,""en"",""hr"")"),"Vijak")</f>
        <v>Vijak</v>
      </c>
      <c r="D2595" s="28" t="s">
        <v>11</v>
      </c>
      <c r="E2595" s="29">
        <v>1</v>
      </c>
      <c r="F2595" s="17"/>
    </row>
    <row r="2596" spans="1:9" ht="25.5" customHeight="1" x14ac:dyDescent="0.2">
      <c r="A2596" s="27">
        <v>2594</v>
      </c>
      <c r="B2596" s="29" t="s">
        <v>1153</v>
      </c>
      <c r="C2596" s="29" t="str">
        <f ca="1">IFERROR(__xludf.DUMMYFUNCTION("GOOGLETRANSLATE(C3751,""en"",""hr"")"),"Vijak")</f>
        <v>Vijak</v>
      </c>
      <c r="D2596" s="28" t="s">
        <v>11</v>
      </c>
      <c r="E2596" s="29">
        <v>1</v>
      </c>
      <c r="F2596" s="17"/>
    </row>
    <row r="2597" spans="1:9" ht="25.5" customHeight="1" x14ac:dyDescent="0.2">
      <c r="A2597" s="27">
        <v>2595</v>
      </c>
      <c r="B2597" s="29" t="s">
        <v>1729</v>
      </c>
      <c r="C2597" s="29" t="str">
        <f ca="1">IFERROR(__xludf.DUMMYFUNCTION("GOOGLETRANSLATE(C6009,""en"",""hr"")"),"Vijak")</f>
        <v>Vijak</v>
      </c>
      <c r="D2597" s="28" t="s">
        <v>11</v>
      </c>
      <c r="E2597" s="29">
        <v>1</v>
      </c>
      <c r="F2597" s="17"/>
    </row>
    <row r="2598" spans="1:9" ht="25.5" customHeight="1" x14ac:dyDescent="0.2">
      <c r="A2598" s="27">
        <v>2596</v>
      </c>
      <c r="B2598" s="29" t="s">
        <v>1526</v>
      </c>
      <c r="C2598" s="29" t="str">
        <f ca="1">IFERROR(__xludf.DUMMYFUNCTION("GOOGLETRANSLATE(C5171,""en"",""hr"")"),"Vijak s poklopcem")</f>
        <v>Vijak s poklopcem</v>
      </c>
      <c r="D2598" s="28" t="s">
        <v>11</v>
      </c>
      <c r="E2598" s="29">
        <v>1</v>
      </c>
      <c r="F2598" s="17"/>
    </row>
    <row r="2599" spans="1:9" ht="25.5" customHeight="1" x14ac:dyDescent="0.2">
      <c r="A2599" s="27">
        <v>2597</v>
      </c>
      <c r="B2599" s="29" t="s">
        <v>1028</v>
      </c>
      <c r="C2599" s="29" t="str">
        <f ca="1">IFERROR(__xludf.DUMMYFUNCTION("GOOGLETRANSLATE(C3339,""en"",""hr"")"),"imbus vijak")</f>
        <v>imbus vijak</v>
      </c>
      <c r="D2599" s="28" t="s">
        <v>11</v>
      </c>
      <c r="E2599" s="29">
        <v>1</v>
      </c>
      <c r="F2599" s="17"/>
    </row>
    <row r="2600" spans="1:9" ht="25.5" customHeight="1" x14ac:dyDescent="0.2">
      <c r="A2600" s="27">
        <v>2598</v>
      </c>
      <c r="B2600" s="29" t="s">
        <v>1518</v>
      </c>
      <c r="C2600" s="29" t="str">
        <f ca="1">IFERROR(__xludf.DUMMYFUNCTION("GOOGLETRANSLATE(C5154,""en"",""hr"")"),"Upušteni vijak")</f>
        <v>Upušteni vijak</v>
      </c>
      <c r="D2600" s="28" t="s">
        <v>11</v>
      </c>
      <c r="E2600" s="29">
        <v>1</v>
      </c>
      <c r="F2600" s="17"/>
    </row>
    <row r="2601" spans="1:9" ht="25.5" customHeight="1" x14ac:dyDescent="0.2">
      <c r="A2601" s="27">
        <v>2599</v>
      </c>
      <c r="B2601" s="29" t="s">
        <v>1482</v>
      </c>
      <c r="C2601" s="29" t="str">
        <f ca="1">IFERROR(__xludf.DUMMYFUNCTION("GOOGLETRANSLATE(C4970,""en"",""hr"")"),"Vijak s podignutom sirnom glavom")</f>
        <v>Vijak s podignutom sirnom glavom</v>
      </c>
      <c r="D2601" s="28" t="s">
        <v>11</v>
      </c>
      <c r="E2601" s="29">
        <v>1</v>
      </c>
      <c r="F2601" s="17"/>
    </row>
    <row r="2602" spans="1:9" ht="25.5" customHeight="1" x14ac:dyDescent="0.2">
      <c r="A2602" s="27">
        <v>2600</v>
      </c>
      <c r="B2602" s="29" t="s">
        <v>1530</v>
      </c>
      <c r="C2602" s="29" t="str">
        <f ca="1">IFERROR(__xludf.DUMMYFUNCTION("GOOGLETRANSLATE(C5181,""en"",""hr"")"),"Vijak")</f>
        <v>Vijak</v>
      </c>
      <c r="D2602" s="28" t="s">
        <v>11</v>
      </c>
      <c r="E2602" s="29">
        <v>1</v>
      </c>
      <c r="F2602" s="17"/>
    </row>
    <row r="2603" spans="1:9" ht="25.5" customHeight="1" x14ac:dyDescent="0.2">
      <c r="A2603" s="27">
        <v>2601</v>
      </c>
      <c r="B2603" s="29" t="s">
        <v>1557</v>
      </c>
      <c r="C2603" s="29" t="str">
        <f ca="1">IFERROR(__xludf.DUMMYFUNCTION("GOOGLETRANSLATE(C5303,""en"",""hr"")"),"Vijak s podignutom sirnom glavom")</f>
        <v>Vijak s podignutom sirnom glavom</v>
      </c>
      <c r="D2603" s="28" t="s">
        <v>11</v>
      </c>
      <c r="E2603" s="29">
        <v>1</v>
      </c>
      <c r="F2603" s="17"/>
      <c r="I2603" s="4" t="b">
        <f>INT(F2601*100)=(F2601*100)</f>
        <v>1</v>
      </c>
    </row>
    <row r="2604" spans="1:9" ht="25.5" customHeight="1" x14ac:dyDescent="0.2">
      <c r="A2604" s="27">
        <v>2602</v>
      </c>
      <c r="B2604" s="29" t="s">
        <v>1829</v>
      </c>
      <c r="C2604" s="29" t="str">
        <f ca="1">IFERROR(__xludf.DUMMYFUNCTION("GOOGLETRANSLATE(C6387,""en"",""hr"")"),"Vijak s podignutom sirnom glavom")</f>
        <v>Vijak s podignutom sirnom glavom</v>
      </c>
      <c r="D2604" s="28" t="s">
        <v>11</v>
      </c>
      <c r="E2604" s="29">
        <v>1</v>
      </c>
      <c r="F2604" s="17"/>
    </row>
    <row r="2605" spans="1:9" ht="25.5" customHeight="1" x14ac:dyDescent="0.2">
      <c r="A2605" s="27">
        <v>2603</v>
      </c>
      <c r="B2605" s="29" t="s">
        <v>454</v>
      </c>
      <c r="C2605" s="29" t="str">
        <f ca="1">IFERROR(__xludf.DUMMYFUNCTION("GOOGLETRANSLATE(C1100,""en"",""hr"")"),"Vijak")</f>
        <v>Vijak</v>
      </c>
      <c r="D2605" s="28" t="s">
        <v>11</v>
      </c>
      <c r="E2605" s="29">
        <v>1</v>
      </c>
      <c r="F2605" s="17"/>
    </row>
    <row r="2606" spans="1:9" ht="25.5" customHeight="1" x14ac:dyDescent="0.2">
      <c r="A2606" s="27">
        <v>2604</v>
      </c>
      <c r="B2606" s="29" t="s">
        <v>1477</v>
      </c>
      <c r="C2606" s="29" t="str">
        <f ca="1">IFERROR(__xludf.DUMMYFUNCTION("GOOGLETRANSLATE(C4962,""en"",""hr"")"),"Vijak")</f>
        <v>Vijak</v>
      </c>
      <c r="D2606" s="28" t="s">
        <v>11</v>
      </c>
      <c r="E2606" s="29">
        <v>1</v>
      </c>
      <c r="F2606" s="17"/>
      <c r="I2606" s="4" t="b">
        <f>INT(F2604*100)=(F2604*100)</f>
        <v>1</v>
      </c>
    </row>
    <row r="2607" spans="1:9" ht="25.5" customHeight="1" x14ac:dyDescent="0.2">
      <c r="A2607" s="27">
        <v>2605</v>
      </c>
      <c r="B2607" s="29" t="s">
        <v>447</v>
      </c>
      <c r="C2607" s="29" t="str">
        <f ca="1">IFERROR(__xludf.DUMMYFUNCTION("GOOGLETRANSLATE(C1072,""en"",""hr"")"),"Vijak s podignutom sirnom glavom")</f>
        <v>Vijak s podignutom sirnom glavom</v>
      </c>
      <c r="D2607" s="28" t="s">
        <v>11</v>
      </c>
      <c r="E2607" s="29">
        <v>1</v>
      </c>
      <c r="F2607" s="17"/>
    </row>
    <row r="2608" spans="1:9" ht="25.5" customHeight="1" x14ac:dyDescent="0.2">
      <c r="A2608" s="27">
        <v>2606</v>
      </c>
      <c r="B2608" s="29" t="s">
        <v>1801</v>
      </c>
      <c r="C2608" s="29" t="str">
        <f ca="1">IFERROR(__xludf.DUMMYFUNCTION("GOOGLETRANSLATE(C6320,""en"",""hr"")"),"imbus vijak")</f>
        <v>imbus vijak</v>
      </c>
      <c r="D2608" s="28" t="s">
        <v>11</v>
      </c>
      <c r="E2608" s="29">
        <v>1</v>
      </c>
      <c r="F2608" s="17"/>
    </row>
    <row r="2609" spans="1:9" ht="25.5" customHeight="1" x14ac:dyDescent="0.2">
      <c r="A2609" s="27">
        <v>2607</v>
      </c>
      <c r="B2609" s="29" t="s">
        <v>1802</v>
      </c>
      <c r="C2609" s="29" t="str">
        <f ca="1">IFERROR(__xludf.DUMMYFUNCTION("GOOGLETRANSLATE(C6321,""en"",""hr"")"),"imbus vijak")</f>
        <v>imbus vijak</v>
      </c>
      <c r="D2609" s="28" t="s">
        <v>11</v>
      </c>
      <c r="E2609" s="29">
        <v>1</v>
      </c>
      <c r="F2609" s="17"/>
    </row>
    <row r="2610" spans="1:9" ht="25.5" customHeight="1" x14ac:dyDescent="0.2">
      <c r="A2610" s="27">
        <v>2608</v>
      </c>
      <c r="B2610" s="29" t="s">
        <v>983</v>
      </c>
      <c r="C2610" s="29" t="str">
        <f ca="1">IFERROR(__xludf.DUMMYFUNCTION("GOOGLETRANSLATE(C3137,""en"",""hr"")"),"Upušteni vijak")</f>
        <v>Upušteni vijak</v>
      </c>
      <c r="D2610" s="28" t="s">
        <v>11</v>
      </c>
      <c r="E2610" s="29">
        <v>1</v>
      </c>
      <c r="F2610" s="17"/>
      <c r="I2610" s="4" t="b">
        <f>INT(F2608*100)=(F2608*100)</f>
        <v>1</v>
      </c>
    </row>
    <row r="2611" spans="1:9" ht="25.5" customHeight="1" x14ac:dyDescent="0.2">
      <c r="A2611" s="27">
        <v>2609</v>
      </c>
      <c r="B2611" s="29" t="s">
        <v>1230</v>
      </c>
      <c r="C2611" s="29" t="str">
        <f ca="1">IFERROR(__xludf.DUMMYFUNCTION("GOOGLETRANSLATE(C3918,""en"",""hr"")"),"Kuglasti ventil")</f>
        <v>Kuglasti ventil</v>
      </c>
      <c r="D2611" s="28" t="s">
        <v>11</v>
      </c>
      <c r="E2611" s="29">
        <v>1</v>
      </c>
      <c r="F2611" s="17"/>
    </row>
    <row r="2612" spans="1:9" ht="25.5" customHeight="1" x14ac:dyDescent="0.2">
      <c r="A2612" s="27">
        <v>2610</v>
      </c>
      <c r="B2612" s="29" t="s">
        <v>1900</v>
      </c>
      <c r="C2612" s="29" t="str">
        <f ca="1">IFERROR(__xludf.DUMMYFUNCTION("GOOGLETRANSLATE(C6630,""en"",""hr"")"),"Pištolj za podmazivanje")</f>
        <v>Pištolj za podmazivanje</v>
      </c>
      <c r="D2612" s="28" t="s">
        <v>11</v>
      </c>
      <c r="E2612" s="29">
        <v>1</v>
      </c>
      <c r="F2612" s="17"/>
    </row>
    <row r="2613" spans="1:9" ht="25.5" customHeight="1" x14ac:dyDescent="0.2">
      <c r="A2613" s="27">
        <v>2611</v>
      </c>
      <c r="B2613" s="29" t="s">
        <v>847</v>
      </c>
      <c r="C2613" s="29" t="str">
        <f ca="1">IFERROR(__xludf.DUMMYFUNCTION("GOOGLETRANSLATE(C2510,""en"",""hr"")"),"mijehovi")</f>
        <v>mijehovi</v>
      </c>
      <c r="D2613" s="28" t="s">
        <v>11</v>
      </c>
      <c r="E2613" s="29">
        <v>1</v>
      </c>
      <c r="F2613" s="17"/>
    </row>
    <row r="2614" spans="1:9" ht="25.5" customHeight="1" x14ac:dyDescent="0.2">
      <c r="A2614" s="27">
        <v>2612</v>
      </c>
      <c r="B2614" s="29" t="s">
        <v>845</v>
      </c>
      <c r="C2614" s="29" t="str">
        <f ca="1">IFERROR(__xludf.DUMMYFUNCTION("GOOGLETRANSLATE(C2508,""en"",""hr"")"),"Štitnik cijevi")</f>
        <v>Štitnik cijevi</v>
      </c>
      <c r="D2614" s="28" t="s">
        <v>11</v>
      </c>
      <c r="E2614" s="29">
        <v>1</v>
      </c>
      <c r="F2614" s="17"/>
    </row>
    <row r="2615" spans="1:9" ht="25.5" customHeight="1" x14ac:dyDescent="0.2">
      <c r="A2615" s="27">
        <v>2613</v>
      </c>
      <c r="B2615" s="29" t="s">
        <v>777</v>
      </c>
      <c r="C2615" s="29" t="str">
        <f ca="1">IFERROR(__xludf.DUMMYFUNCTION("GOOGLETRANSLATE(C2406,""en"",""hr"")"),"Čahura ležaja")</f>
        <v>Čahura ležaja</v>
      </c>
      <c r="D2615" s="28" t="s">
        <v>11</v>
      </c>
      <c r="E2615" s="29">
        <v>1</v>
      </c>
      <c r="F2615" s="17"/>
    </row>
    <row r="2616" spans="1:9" ht="25.5" customHeight="1" x14ac:dyDescent="0.2">
      <c r="A2616" s="27">
        <v>2614</v>
      </c>
      <c r="B2616" s="29" t="s">
        <v>838</v>
      </c>
      <c r="C2616" s="29" t="str">
        <f ca="1">IFERROR(__xludf.DUMMYFUNCTION("GOOGLETRANSLATE(C2501,""en"",""hr"")"),"Vratilo")</f>
        <v>Vratilo</v>
      </c>
      <c r="D2616" s="28" t="s">
        <v>11</v>
      </c>
      <c r="E2616" s="29">
        <v>1</v>
      </c>
      <c r="F2616" s="17"/>
    </row>
    <row r="2617" spans="1:9" ht="25.5" customHeight="1" x14ac:dyDescent="0.2">
      <c r="A2617" s="27">
        <v>2615</v>
      </c>
      <c r="B2617" s="29" t="s">
        <v>1333</v>
      </c>
      <c r="C2617" s="29" t="str">
        <f ca="1">IFERROR(__xludf.DUMMYFUNCTION("GOOGLETRANSLATE(C4199,""en"",""hr"")"),"Stezaljka za alat")</f>
        <v>Stezaljka za alat</v>
      </c>
      <c r="D2617" s="28" t="s">
        <v>11</v>
      </c>
      <c r="E2617" s="29">
        <v>1</v>
      </c>
      <c r="F2617" s="17"/>
    </row>
    <row r="2618" spans="1:9" ht="25.5" customHeight="1" x14ac:dyDescent="0.2">
      <c r="A2618" s="27">
        <v>2616</v>
      </c>
      <c r="B2618" s="29" t="s">
        <v>835</v>
      </c>
      <c r="C2618" s="29" t="str">
        <f ca="1">IFERROR(__xludf.DUMMYFUNCTION("GOOGLETRANSLATE(C2498,""en"",""hr"")"),"brtva")</f>
        <v>brtva</v>
      </c>
      <c r="D2618" s="28" t="s">
        <v>11</v>
      </c>
      <c r="E2618" s="29">
        <v>1</v>
      </c>
      <c r="F2618" s="17"/>
    </row>
    <row r="2619" spans="1:9" ht="25.5" customHeight="1" x14ac:dyDescent="0.2">
      <c r="A2619" s="27">
        <v>2617</v>
      </c>
      <c r="B2619" s="29" t="s">
        <v>873</v>
      </c>
      <c r="C2619" s="29" t="str">
        <f ca="1">IFERROR(__xludf.DUMMYFUNCTION("GOOGLETRANSLATE(C2562,""en"",""hr"")"),"Držač mlaznice")</f>
        <v>Držač mlaznice</v>
      </c>
      <c r="D2619" s="28" t="s">
        <v>11</v>
      </c>
      <c r="E2619" s="29">
        <v>1</v>
      </c>
      <c r="F2619" s="17"/>
    </row>
    <row r="2620" spans="1:9" ht="25.5" customHeight="1" x14ac:dyDescent="0.2">
      <c r="A2620" s="27">
        <v>2618</v>
      </c>
      <c r="B2620" s="29" t="s">
        <v>1055</v>
      </c>
      <c r="C2620" s="29" t="str">
        <f ca="1">IFERROR(__xludf.DUMMYFUNCTION("GOOGLETRANSLATE(C3444,""en"",""hr"")"),"Stop zagrada")</f>
        <v>Stop zagrada</v>
      </c>
      <c r="D2620" s="28" t="s">
        <v>11</v>
      </c>
      <c r="E2620" s="29">
        <v>1</v>
      </c>
      <c r="F2620" s="17"/>
    </row>
    <row r="2621" spans="1:9" ht="25.5" customHeight="1" x14ac:dyDescent="0.2">
      <c r="A2621" s="27">
        <v>2619</v>
      </c>
      <c r="B2621" s="29" t="s">
        <v>388</v>
      </c>
      <c r="C2621" s="29" t="str">
        <f ca="1">IFERROR(__xludf.DUMMYFUNCTION("GOOGLETRANSLATE(C908,""en"",""hr"")"),"Hidro ležaj")</f>
        <v>Hidro ležaj</v>
      </c>
      <c r="D2621" s="28" t="s">
        <v>11</v>
      </c>
      <c r="E2621" s="29">
        <v>1</v>
      </c>
      <c r="F2621" s="17"/>
    </row>
    <row r="2622" spans="1:9" ht="25.5" customHeight="1" x14ac:dyDescent="0.2">
      <c r="A2622" s="27">
        <v>2620</v>
      </c>
      <c r="B2622" s="29" t="s">
        <v>850</v>
      </c>
      <c r="C2622" s="29" t="str">
        <f ca="1">IFERROR(__xludf.DUMMYFUNCTION("GOOGLETRANSLATE(C2513,""en"",""hr"")"),"Vreteno")</f>
        <v>Vreteno</v>
      </c>
      <c r="D2622" s="28" t="s">
        <v>11</v>
      </c>
      <c r="E2622" s="29">
        <v>1</v>
      </c>
      <c r="F2622" s="17"/>
    </row>
    <row r="2623" spans="1:9" ht="25.5" customHeight="1" x14ac:dyDescent="0.2">
      <c r="A2623" s="27">
        <v>2621</v>
      </c>
      <c r="B2623" s="29" t="s">
        <v>789</v>
      </c>
      <c r="C2623" s="29" t="str">
        <f ca="1">IFERROR(__xludf.DUMMYFUNCTION("GOOGLETRANSLATE(C2419,""en"",""hr"")"),"Poluga")</f>
        <v>Poluga</v>
      </c>
      <c r="D2623" s="28" t="s">
        <v>11</v>
      </c>
      <c r="E2623" s="29">
        <v>1</v>
      </c>
      <c r="F2623" s="17"/>
    </row>
    <row r="2624" spans="1:9" ht="25.5" customHeight="1" x14ac:dyDescent="0.2">
      <c r="A2624" s="27">
        <v>2622</v>
      </c>
      <c r="B2624" s="29" t="s">
        <v>834</v>
      </c>
      <c r="C2624" s="29" t="str">
        <f ca="1">IFERROR(__xludf.DUMMYFUNCTION("GOOGLETRANSLATE(C2497,""en"",""hr"")"),"Teleskopska ruka")</f>
        <v>Teleskopska ruka</v>
      </c>
      <c r="D2624" s="28" t="s">
        <v>11</v>
      </c>
      <c r="E2624" s="29">
        <v>1</v>
      </c>
      <c r="F2624" s="17"/>
    </row>
    <row r="2625" spans="1:9" ht="25.5" customHeight="1" x14ac:dyDescent="0.2">
      <c r="A2625" s="27">
        <v>2623</v>
      </c>
      <c r="B2625" s="29" t="s">
        <v>858</v>
      </c>
      <c r="C2625" s="29" t="str">
        <f ca="1">IFERROR(__xludf.DUMMYFUNCTION("GOOGLETRANSLATE(C2531,""en"",""hr"")"),"Vilica")</f>
        <v>Vilica</v>
      </c>
      <c r="D2625" s="28" t="s">
        <v>11</v>
      </c>
      <c r="E2625" s="29">
        <v>1</v>
      </c>
      <c r="F2625" s="17"/>
    </row>
    <row r="2626" spans="1:9" ht="25.5" customHeight="1" x14ac:dyDescent="0.2">
      <c r="A2626" s="27">
        <v>2624</v>
      </c>
      <c r="B2626" s="29" t="s">
        <v>779</v>
      </c>
      <c r="C2626" s="29" t="str">
        <f ca="1">IFERROR(__xludf.DUMMYFUNCTION("GOOGLETRANSLATE(C2408,""en"",""hr"")"),"Osovina")</f>
        <v>Osovina</v>
      </c>
      <c r="D2626" s="28" t="s">
        <v>11</v>
      </c>
      <c r="E2626" s="29">
        <v>1</v>
      </c>
      <c r="F2626" s="17"/>
    </row>
    <row r="2627" spans="1:9" ht="25.5" customHeight="1" x14ac:dyDescent="0.2">
      <c r="A2627" s="27">
        <v>2625</v>
      </c>
      <c r="B2627" s="29" t="s">
        <v>879</v>
      </c>
      <c r="C2627" s="29" t="str">
        <f ca="1">IFERROR(__xludf.DUMMYFUNCTION("GOOGLETRANSLATE(C2574,""en"",""hr"")"),"Držač")</f>
        <v>Držač</v>
      </c>
      <c r="D2627" s="28" t="s">
        <v>11</v>
      </c>
      <c r="E2627" s="29">
        <v>1</v>
      </c>
      <c r="F2627" s="17"/>
    </row>
    <row r="2628" spans="1:9" ht="25.5" customHeight="1" x14ac:dyDescent="0.2">
      <c r="A2628" s="27">
        <v>2626</v>
      </c>
      <c r="B2628" s="29" t="s">
        <v>878</v>
      </c>
      <c r="C2628" s="29" t="str">
        <f ca="1">IFERROR(__xludf.DUMMYFUNCTION("GOOGLETRANSLATE(C2573,""en"",""hr"")"),"Stezna traka")</f>
        <v>Stezna traka</v>
      </c>
      <c r="D2628" s="28" t="s">
        <v>11</v>
      </c>
      <c r="E2628" s="29">
        <v>1</v>
      </c>
      <c r="F2628" s="17"/>
      <c r="I2628" s="4" t="b">
        <f>INT(F2626*100)=(F2626*100)</f>
        <v>1</v>
      </c>
    </row>
    <row r="2629" spans="1:9" ht="25.5" customHeight="1" x14ac:dyDescent="0.2">
      <c r="A2629" s="27">
        <v>2627</v>
      </c>
      <c r="B2629" s="29" t="s">
        <v>877</v>
      </c>
      <c r="C2629" s="29" t="str">
        <f ca="1">IFERROR(__xludf.DUMMYFUNCTION("GOOGLETRANSLATE(C2572,""en"",""hr"")"),"Gumena pregača")</f>
        <v>Gumena pregača</v>
      </c>
      <c r="D2629" s="28" t="s">
        <v>11</v>
      </c>
      <c r="E2629" s="29">
        <v>1</v>
      </c>
      <c r="F2629" s="17"/>
    </row>
    <row r="2630" spans="1:9" ht="25.5" customHeight="1" x14ac:dyDescent="0.2">
      <c r="A2630" s="27">
        <v>2628</v>
      </c>
      <c r="B2630" s="29" t="s">
        <v>860</v>
      </c>
      <c r="C2630" s="29" t="str">
        <f ca="1">IFERROR(__xludf.DUMMYFUNCTION("GOOGLETRANSLATE(C2533,""en"",""hr"")"),"Hidraulički cilindar")</f>
        <v>Hidraulički cilindar</v>
      </c>
      <c r="D2630" s="28" t="s">
        <v>11</v>
      </c>
      <c r="E2630" s="29">
        <v>1</v>
      </c>
      <c r="F2630" s="17"/>
    </row>
    <row r="2631" spans="1:9" ht="25.5" customHeight="1" x14ac:dyDescent="0.2">
      <c r="A2631" s="27">
        <v>2629</v>
      </c>
      <c r="B2631" s="29" t="s">
        <v>783</v>
      </c>
      <c r="C2631" s="29" t="str">
        <f ca="1">IFERROR(__xludf.DUMMYFUNCTION("GOOGLETRANSLATE(C2413,""en"",""hr"")"),"Hidraulički cilindar")</f>
        <v>Hidraulički cilindar</v>
      </c>
      <c r="D2631" s="28" t="s">
        <v>11</v>
      </c>
      <c r="E2631" s="29">
        <v>1</v>
      </c>
      <c r="F2631" s="17"/>
      <c r="I2631" s="4" t="b">
        <f>INT(F2629*100)=(F2629*100)</f>
        <v>1</v>
      </c>
    </row>
    <row r="2632" spans="1:9" ht="25.5" customHeight="1" x14ac:dyDescent="0.2">
      <c r="A2632" s="27">
        <v>2630</v>
      </c>
      <c r="B2632" s="29" t="s">
        <v>825</v>
      </c>
      <c r="C2632" s="29" t="str">
        <f ca="1">IFERROR(__xludf.DUMMYFUNCTION("GOOGLETRANSLATE(C2482,""en"",""hr"")"),"Hidraulički cilindar")</f>
        <v>Hidraulički cilindar</v>
      </c>
      <c r="D2632" s="28" t="s">
        <v>11</v>
      </c>
      <c r="E2632" s="29">
        <v>1</v>
      </c>
      <c r="F2632" s="17"/>
    </row>
    <row r="2633" spans="1:9" ht="25.5" customHeight="1" x14ac:dyDescent="0.2">
      <c r="A2633" s="27">
        <v>2631</v>
      </c>
      <c r="B2633" s="29" t="s">
        <v>781</v>
      </c>
      <c r="C2633" s="29" t="str">
        <f ca="1">IFERROR(__xludf.DUMMYFUNCTION("GOOGLETRANSLATE(C2410,""en"",""hr"")"),"Podloška za zaključavanje")</f>
        <v>Podloška za zaključavanje</v>
      </c>
      <c r="D2633" s="28" t="s">
        <v>11</v>
      </c>
      <c r="E2633" s="29">
        <v>1</v>
      </c>
      <c r="F2633" s="17"/>
    </row>
    <row r="2634" spans="1:9" ht="25.5" customHeight="1" x14ac:dyDescent="0.2">
      <c r="A2634" s="27">
        <v>2632</v>
      </c>
      <c r="B2634" s="29" t="s">
        <v>851</v>
      </c>
      <c r="C2634" s="29" t="str">
        <f ca="1">IFERROR(__xludf.DUMMYFUNCTION("GOOGLETRANSLATE(C2515,""en"",""hr"")"),"Napetost opruge")</f>
        <v>Napetost opruge</v>
      </c>
      <c r="D2634" s="28" t="s">
        <v>11</v>
      </c>
      <c r="E2634" s="29">
        <v>1</v>
      </c>
      <c r="F2634" s="17"/>
    </row>
    <row r="2635" spans="1:9" ht="25.5" customHeight="1" x14ac:dyDescent="0.2">
      <c r="A2635" s="27">
        <v>2633</v>
      </c>
      <c r="B2635" s="29" t="s">
        <v>862</v>
      </c>
      <c r="C2635" s="29" t="str">
        <f ca="1">IFERROR(__xludf.DUMMYFUNCTION("GOOGLETRANSLATE(C2535,""en"",""hr"")"),"Nosač držača četke")</f>
        <v>Nosač držača četke</v>
      </c>
      <c r="D2635" s="28" t="s">
        <v>11</v>
      </c>
      <c r="E2635" s="29">
        <v>1</v>
      </c>
      <c r="F2635" s="17"/>
      <c r="I2635" s="4" t="b">
        <f>INT(F2633*100)=(F2633*100)</f>
        <v>1</v>
      </c>
    </row>
    <row r="2636" spans="1:9" ht="25.5" customHeight="1" x14ac:dyDescent="0.2">
      <c r="A2636" s="27">
        <v>2634</v>
      </c>
      <c r="B2636" s="29" t="s">
        <v>790</v>
      </c>
      <c r="C2636" s="29" t="str">
        <f ca="1">IFERROR(__xludf.DUMMYFUNCTION("GOOGLETRANSLATE(C2420,""en"",""hr"")"),"Čahura")</f>
        <v>Čahura</v>
      </c>
      <c r="D2636" s="28" t="s">
        <v>11</v>
      </c>
      <c r="E2636" s="29">
        <v>1</v>
      </c>
      <c r="F2636" s="17"/>
    </row>
    <row r="2637" spans="1:9" ht="25.5" customHeight="1" x14ac:dyDescent="0.2">
      <c r="A2637" s="27">
        <v>2635</v>
      </c>
      <c r="B2637" s="29" t="s">
        <v>883</v>
      </c>
      <c r="C2637" s="29" t="str">
        <f ca="1">IFERROR(__xludf.DUMMYFUNCTION("GOOGLETRANSLATE(C2580,""en"",""hr"")"),"Napetost nosača")</f>
        <v>Napetost nosača</v>
      </c>
      <c r="D2637" s="28" t="s">
        <v>11</v>
      </c>
      <c r="E2637" s="29">
        <v>1</v>
      </c>
      <c r="F2637" s="17"/>
    </row>
    <row r="2638" spans="1:9" ht="25.5" customHeight="1" x14ac:dyDescent="0.2">
      <c r="A2638" s="27">
        <v>2636</v>
      </c>
      <c r="B2638" s="29" t="s">
        <v>882</v>
      </c>
      <c r="C2638" s="29" t="str">
        <f ca="1">IFERROR(__xludf.DUMMYFUNCTION("GOOGLETRANSLATE(C2579,""en"",""hr"")"),"Stezaljka")</f>
        <v>Stezaljka</v>
      </c>
      <c r="D2638" s="28" t="s">
        <v>11</v>
      </c>
      <c r="E2638" s="29">
        <v>1</v>
      </c>
      <c r="F2638" s="17"/>
    </row>
    <row r="2639" spans="1:9" ht="25.5" customHeight="1" x14ac:dyDescent="0.2">
      <c r="A2639" s="27">
        <v>2637</v>
      </c>
      <c r="B2639" s="29" t="s">
        <v>842</v>
      </c>
      <c r="C2639" s="29" t="str">
        <f ca="1">IFERROR(__xludf.DUMMYFUNCTION("GOOGLETRANSLATE(C2505,""en"",""hr"")"),"Klin ležaja")</f>
        <v>Klin ležaja</v>
      </c>
      <c r="D2639" s="28" t="s">
        <v>11</v>
      </c>
      <c r="E2639" s="29">
        <v>1</v>
      </c>
      <c r="F2639" s="17"/>
    </row>
    <row r="2640" spans="1:9" ht="25.5" customHeight="1" x14ac:dyDescent="0.2">
      <c r="A2640" s="27">
        <v>2638</v>
      </c>
      <c r="B2640" s="29" t="s">
        <v>856</v>
      </c>
      <c r="C2640" s="29" t="str">
        <f ca="1">IFERROR(__xludf.DUMMYFUNCTION("GOOGLETRANSLATE(C2524,""en"",""hr"")"),"Čahura")</f>
        <v>Čahura</v>
      </c>
      <c r="D2640" s="28" t="s">
        <v>11</v>
      </c>
      <c r="E2640" s="29">
        <v>1</v>
      </c>
      <c r="F2640" s="17"/>
    </row>
    <row r="2641" spans="1:9" ht="25.5" customHeight="1" x14ac:dyDescent="0.2">
      <c r="A2641" s="27">
        <v>2639</v>
      </c>
      <c r="B2641" s="29" t="s">
        <v>452</v>
      </c>
      <c r="C2641" s="29" t="str">
        <f ca="1">IFERROR(__xludf.DUMMYFUNCTION("GOOGLETRANSLATE(C1088,""en"",""hr"")"),"Perilica")</f>
        <v>Perilica</v>
      </c>
      <c r="D2641" s="28" t="s">
        <v>11</v>
      </c>
      <c r="E2641" s="29">
        <v>1</v>
      </c>
      <c r="F2641" s="17"/>
    </row>
    <row r="2642" spans="1:9" ht="25.5" customHeight="1" x14ac:dyDescent="0.2">
      <c r="A2642" s="27">
        <v>2640</v>
      </c>
      <c r="B2642" s="29" t="s">
        <v>872</v>
      </c>
      <c r="C2642" s="29" t="str">
        <f ca="1">IFERROR(__xludf.DUMMYFUNCTION("GOOGLETRANSLATE(C2552,""en"",""hr"")"),"Restriktor")</f>
        <v>Restriktor</v>
      </c>
      <c r="D2642" s="28" t="s">
        <v>11</v>
      </c>
      <c r="E2642" s="29">
        <v>1</v>
      </c>
      <c r="F2642" s="17"/>
    </row>
    <row r="2643" spans="1:9" ht="25.5" customHeight="1" x14ac:dyDescent="0.2">
      <c r="A2643" s="27">
        <v>2641</v>
      </c>
      <c r="B2643" s="29" t="s">
        <v>1327</v>
      </c>
      <c r="C2643" s="29" t="str">
        <f ca="1">IFERROR(__xludf.DUMMYFUNCTION("GOOGLETRANSLATE(C4175,""en"",""hr"")"),"Kolut za crijevo kpl.")</f>
        <v>Kolut za crijevo kpl.</v>
      </c>
      <c r="D2643" s="28" t="s">
        <v>11</v>
      </c>
      <c r="E2643" s="29">
        <v>1</v>
      </c>
      <c r="F2643" s="17"/>
    </row>
    <row r="2644" spans="1:9" ht="25.5" customHeight="1" x14ac:dyDescent="0.2">
      <c r="A2644" s="27">
        <v>2642</v>
      </c>
      <c r="B2644" s="29" t="s">
        <v>802</v>
      </c>
      <c r="C2644" s="29" t="str">
        <f ca="1">IFERROR(__xludf.DUMMYFUNCTION("GOOGLETRANSLATE(C2441,""en"",""hr"")"),"Vodilica crijeva kpl.")</f>
        <v>Vodilica crijeva kpl.</v>
      </c>
      <c r="D2644" s="28" t="s">
        <v>11</v>
      </c>
      <c r="E2644" s="29">
        <v>1</v>
      </c>
      <c r="F2644" s="17"/>
    </row>
    <row r="2645" spans="1:9" ht="25.5" customHeight="1" x14ac:dyDescent="0.2">
      <c r="A2645" s="27">
        <v>2643</v>
      </c>
      <c r="B2645" s="29" t="s">
        <v>901</v>
      </c>
      <c r="C2645" s="29" t="str">
        <f ca="1">IFERROR(__xludf.DUMMYFUNCTION("GOOGLETRANSLATE(C2672,""en"",""hr"")"),"Distantni grm")</f>
        <v>Distantni grm</v>
      </c>
      <c r="D2645" s="28" t="s">
        <v>11</v>
      </c>
      <c r="E2645" s="29">
        <v>1</v>
      </c>
      <c r="F2645" s="17"/>
    </row>
    <row r="2646" spans="1:9" ht="25.5" customHeight="1" x14ac:dyDescent="0.2">
      <c r="A2646" s="27">
        <v>2644</v>
      </c>
      <c r="B2646" s="29" t="s">
        <v>804</v>
      </c>
      <c r="C2646" s="29" t="str">
        <f ca="1">IFERROR(__xludf.DUMMYFUNCTION("GOOGLETRANSLATE(C2448,""en"",""hr"")"),"Zaustavna ploča")</f>
        <v>Zaustavna ploča</v>
      </c>
      <c r="D2646" s="28" t="s">
        <v>11</v>
      </c>
      <c r="E2646" s="29">
        <v>1</v>
      </c>
      <c r="F2646" s="17"/>
    </row>
    <row r="2647" spans="1:9" ht="25.5" customHeight="1" x14ac:dyDescent="0.2">
      <c r="A2647" s="27">
        <v>2645</v>
      </c>
      <c r="B2647" s="29" t="s">
        <v>800</v>
      </c>
      <c r="C2647" s="29" t="str">
        <f ca="1">IFERROR(__xludf.DUMMYFUNCTION("GOOGLETRANSLATE(C2439,""en"",""hr"")"),"Perilica")</f>
        <v>Perilica</v>
      </c>
      <c r="D2647" s="28" t="s">
        <v>11</v>
      </c>
      <c r="E2647" s="29">
        <v>1</v>
      </c>
      <c r="F2647" s="17"/>
    </row>
    <row r="2648" spans="1:9" ht="25.5" customHeight="1" x14ac:dyDescent="0.2">
      <c r="A2648" s="27">
        <v>2646</v>
      </c>
      <c r="B2648" s="29" t="s">
        <v>799</v>
      </c>
      <c r="C2648" s="29" t="str">
        <f ca="1">IFERROR(__xludf.DUMMYFUNCTION("GOOGLETRANSLATE(C2437,""en"",""hr"")"),"Poluga za vožnju unazad")</f>
        <v>Poluga za vožnju unazad</v>
      </c>
      <c r="D2648" s="28" t="s">
        <v>11</v>
      </c>
      <c r="E2648" s="29">
        <v>1</v>
      </c>
      <c r="F2648" s="17"/>
    </row>
    <row r="2649" spans="1:9" ht="25.5" customHeight="1" x14ac:dyDescent="0.2">
      <c r="A2649" s="27">
        <v>2647</v>
      </c>
      <c r="B2649" s="29" t="s">
        <v>894</v>
      </c>
      <c r="C2649" s="29" t="str">
        <f ca="1">IFERROR(__xludf.DUMMYFUNCTION("GOOGLETRANSLATE(C2651,""en"",""hr"")"),"Poluga za vožnju unazad")</f>
        <v>Poluga za vožnju unazad</v>
      </c>
      <c r="D2649" s="28" t="s">
        <v>11</v>
      </c>
      <c r="E2649" s="29">
        <v>1</v>
      </c>
      <c r="F2649" s="17"/>
    </row>
    <row r="2650" spans="1:9" ht="25.5" customHeight="1" x14ac:dyDescent="0.2">
      <c r="A2650" s="27">
        <v>2648</v>
      </c>
      <c r="B2650" s="29" t="s">
        <v>776</v>
      </c>
      <c r="C2650" s="29" t="str">
        <f ca="1">IFERROR(__xludf.DUMMYFUNCTION("GOOGLETRANSLATE(C2405,""en"",""hr"")"),"Ruka za njihanje")</f>
        <v>Ruka za njihanje</v>
      </c>
      <c r="D2650" s="28" t="s">
        <v>11</v>
      </c>
      <c r="E2650" s="29">
        <v>1</v>
      </c>
      <c r="F2650" s="17"/>
    </row>
    <row r="2651" spans="1:9" ht="25.5" customHeight="1" x14ac:dyDescent="0.2">
      <c r="A2651" s="27">
        <v>2649</v>
      </c>
      <c r="B2651" s="29" t="s">
        <v>803</v>
      </c>
      <c r="C2651" s="29" t="str">
        <f ca="1">IFERROR(__xludf.DUMMYFUNCTION("GOOGLETRANSLATE(C2445,""en"",""hr"")"),"Vodič")</f>
        <v>Vodič</v>
      </c>
      <c r="D2651" s="28" t="s">
        <v>11</v>
      </c>
      <c r="E2651" s="29">
        <v>1</v>
      </c>
      <c r="F2651" s="17"/>
    </row>
    <row r="2652" spans="1:9" ht="25.5" customHeight="1" x14ac:dyDescent="0.2">
      <c r="A2652" s="27">
        <v>2650</v>
      </c>
      <c r="B2652" s="29" t="s">
        <v>801</v>
      </c>
      <c r="C2652" s="29" t="str">
        <f ca="1">IFERROR(__xludf.DUMMYFUNCTION("GOOGLETRANSLATE(C2440,""en"",""hr"")"),"Opružni element")</f>
        <v>Opružni element</v>
      </c>
      <c r="D2652" s="28" t="s">
        <v>11</v>
      </c>
      <c r="E2652" s="29">
        <v>1</v>
      </c>
      <c r="F2652" s="17"/>
    </row>
    <row r="2653" spans="1:9" ht="25.5" customHeight="1" x14ac:dyDescent="0.2">
      <c r="A2653" s="27">
        <v>2651</v>
      </c>
      <c r="B2653" s="29" t="s">
        <v>778</v>
      </c>
      <c r="C2653" s="29" t="str">
        <f ca="1">IFERROR(__xludf.DUMMYFUNCTION("GOOGLETRANSLATE(C2407,""en"",""hr"")"),"Čahura ležaja")</f>
        <v>Čahura ležaja</v>
      </c>
      <c r="D2653" s="28" t="s">
        <v>11</v>
      </c>
      <c r="E2653" s="29">
        <v>1</v>
      </c>
      <c r="F2653" s="17"/>
    </row>
    <row r="2654" spans="1:9" ht="25.5" customHeight="1" x14ac:dyDescent="0.2">
      <c r="A2654" s="27">
        <v>2652</v>
      </c>
      <c r="B2654" s="29" t="s">
        <v>817</v>
      </c>
      <c r="C2654" s="29" t="str">
        <f ca="1">IFERROR(__xludf.DUMMYFUNCTION("GOOGLETRANSLATE(C2470,""en"",""hr"")"),"Nosač teleskopa")</f>
        <v>Nosač teleskopa</v>
      </c>
      <c r="D2654" s="28" t="s">
        <v>11</v>
      </c>
      <c r="E2654" s="29">
        <v>1</v>
      </c>
      <c r="F2654" s="17"/>
      <c r="I2654" s="4" t="b">
        <f>INT(F2652*100)=(F2652*100)</f>
        <v>1</v>
      </c>
    </row>
    <row r="2655" spans="1:9" ht="25.5" customHeight="1" x14ac:dyDescent="0.2">
      <c r="A2655" s="27">
        <v>2653</v>
      </c>
      <c r="B2655" s="29" t="s">
        <v>818</v>
      </c>
      <c r="C2655" s="29" t="str">
        <f ca="1">IFERROR(__xludf.DUMMYFUNCTION("GOOGLETRANSLATE(C2471,""en"",""hr"")"),"Sigurnosni vijak")</f>
        <v>Sigurnosni vijak</v>
      </c>
      <c r="D2655" s="28" t="s">
        <v>11</v>
      </c>
      <c r="E2655" s="29">
        <v>1</v>
      </c>
      <c r="F2655" s="17"/>
    </row>
    <row r="2656" spans="1:9" ht="25.5" customHeight="1" x14ac:dyDescent="0.2">
      <c r="A2656" s="27">
        <v>2654</v>
      </c>
      <c r="B2656" s="29" t="s">
        <v>806</v>
      </c>
      <c r="C2656" s="29" t="str">
        <f ca="1">IFERROR(__xludf.DUMMYFUNCTION("GOOGLETRANSLATE(C2450,""en"",""hr"")"),"Stezaljka")</f>
        <v>Stezaljka</v>
      </c>
      <c r="D2656" s="28" t="s">
        <v>11</v>
      </c>
      <c r="E2656" s="29">
        <v>1</v>
      </c>
      <c r="F2656" s="17"/>
    </row>
    <row r="2657" spans="1:9" ht="25.5" customHeight="1" x14ac:dyDescent="0.2">
      <c r="A2657" s="27">
        <v>2655</v>
      </c>
      <c r="B2657" s="29" t="s">
        <v>1174</v>
      </c>
      <c r="C2657" s="29" t="str">
        <f ca="1">IFERROR(__xludf.DUMMYFUNCTION("GOOGLETRANSLATE(C3785,""en"",""hr"")"),"Pumpa za vodu kpl.")</f>
        <v>Pumpa za vodu kpl.</v>
      </c>
      <c r="D2657" s="28" t="s">
        <v>11</v>
      </c>
      <c r="E2657" s="29">
        <v>1</v>
      </c>
      <c r="F2657" s="17"/>
      <c r="I2657" s="4" t="b">
        <f>INT(F2655*100)=(F2655*100)</f>
        <v>1</v>
      </c>
    </row>
    <row r="2658" spans="1:9" ht="25.5" customHeight="1" x14ac:dyDescent="0.2">
      <c r="A2658" s="27">
        <v>2656</v>
      </c>
      <c r="B2658" s="29" t="s">
        <v>905</v>
      </c>
      <c r="C2658" s="29" t="str">
        <f ca="1">IFERROR(__xludf.DUMMYFUNCTION("GOOGLETRANSLATE(C2687,""en"",""hr"")"),"Hidraulički cilindar")</f>
        <v>Hidraulički cilindar</v>
      </c>
      <c r="D2658" s="28" t="s">
        <v>11</v>
      </c>
      <c r="E2658" s="29">
        <v>1</v>
      </c>
      <c r="F2658" s="17"/>
    </row>
    <row r="2659" spans="1:9" ht="25.5" customHeight="1" x14ac:dyDescent="0.2">
      <c r="A2659" s="27">
        <v>2657</v>
      </c>
      <c r="B2659" s="29" t="s">
        <v>896</v>
      </c>
      <c r="C2659" s="29" t="str">
        <f ca="1">IFERROR(__xludf.DUMMYFUNCTION("GOOGLETRANSLATE(C2654,""en"",""hr"")"),"Držač")</f>
        <v>Držač</v>
      </c>
      <c r="D2659" s="28" t="s">
        <v>11</v>
      </c>
      <c r="E2659" s="29">
        <v>1</v>
      </c>
      <c r="F2659" s="17"/>
    </row>
    <row r="2660" spans="1:9" ht="25.5" customHeight="1" x14ac:dyDescent="0.2">
      <c r="A2660" s="27">
        <v>2658</v>
      </c>
      <c r="B2660" s="29" t="s">
        <v>910</v>
      </c>
      <c r="C2660" s="29" t="str">
        <f ca="1">IFERROR(__xludf.DUMMYFUNCTION("GOOGLETRANSLATE(C2725,""en"",""hr"")"),"Razina podizanja")</f>
        <v>Razina podizanja</v>
      </c>
      <c r="D2660" s="28" t="s">
        <v>11</v>
      </c>
      <c r="E2660" s="29">
        <v>1</v>
      </c>
      <c r="F2660" s="17"/>
    </row>
    <row r="2661" spans="1:9" ht="25.5" customHeight="1" x14ac:dyDescent="0.2">
      <c r="A2661" s="27">
        <v>2659</v>
      </c>
      <c r="B2661" s="29" t="s">
        <v>949</v>
      </c>
      <c r="C2661" s="29" t="str">
        <f ca="1">IFERROR(__xludf.DUMMYFUNCTION("GOOGLETRANSLATE(C3018,""en"",""hr"")"),"Sweeping Guard cpl.")</f>
        <v>Sweeping Guard cpl.</v>
      </c>
      <c r="D2661" s="28" t="s">
        <v>11</v>
      </c>
      <c r="E2661" s="29">
        <v>1</v>
      </c>
      <c r="F2661" s="17"/>
      <c r="I2661" s="4" t="b">
        <f>INT(F2659*100)=(F2659*100)</f>
        <v>1</v>
      </c>
    </row>
    <row r="2662" spans="1:9" ht="25.5" customHeight="1" x14ac:dyDescent="0.2">
      <c r="A2662" s="27">
        <v>2660</v>
      </c>
      <c r="B2662" s="29" t="s">
        <v>951</v>
      </c>
      <c r="C2662" s="29" t="str">
        <f ca="1">IFERROR(__xludf.DUMMYFUNCTION("GOOGLETRANSLATE(C3020,""en"",""hr"")"),"Pregača")</f>
        <v>Pregača</v>
      </c>
      <c r="D2662" s="28" t="s">
        <v>11</v>
      </c>
      <c r="E2662" s="29">
        <v>1</v>
      </c>
      <c r="F2662" s="17"/>
    </row>
    <row r="2663" spans="1:9" ht="25.5" customHeight="1" x14ac:dyDescent="0.2">
      <c r="A2663" s="27">
        <v>2661</v>
      </c>
      <c r="B2663" s="29" t="s">
        <v>950</v>
      </c>
      <c r="C2663" s="29" t="str">
        <f ca="1">IFERROR(__xludf.DUMMYFUNCTION("GOOGLETRANSLATE(C3019,""en"",""hr"")"),"Traka")</f>
        <v>Traka</v>
      </c>
      <c r="D2663" s="28" t="s">
        <v>11</v>
      </c>
      <c r="E2663" s="29">
        <v>1</v>
      </c>
      <c r="F2663" s="17"/>
    </row>
    <row r="2664" spans="1:9" ht="25.5" customHeight="1" x14ac:dyDescent="0.2">
      <c r="A2664" s="27">
        <v>2662</v>
      </c>
      <c r="B2664" s="29" t="s">
        <v>948</v>
      </c>
      <c r="C2664" s="29" t="str">
        <f ca="1">IFERROR(__xludf.DUMMYFUNCTION("GOOGLETRANSLATE(C3013,""en"",""hr"")"),"Montažna ploča")</f>
        <v>Montažna ploča</v>
      </c>
      <c r="D2664" s="28" t="s">
        <v>11</v>
      </c>
      <c r="E2664" s="29">
        <v>1</v>
      </c>
      <c r="F2664" s="17"/>
    </row>
    <row r="2665" spans="1:9" ht="25.5" customHeight="1" x14ac:dyDescent="0.2">
      <c r="A2665" s="27">
        <v>2663</v>
      </c>
      <c r="B2665" s="29" t="s">
        <v>947</v>
      </c>
      <c r="C2665" s="29" t="str">
        <f ca="1">IFERROR(__xludf.DUMMYFUNCTION("GOOGLETRANSLATE(C3012,""en"",""hr"")"),"Čelični snop")</f>
        <v>Čelični snop</v>
      </c>
      <c r="D2665" s="28" t="s">
        <v>11</v>
      </c>
      <c r="E2665" s="29">
        <v>1</v>
      </c>
      <c r="F2665" s="17"/>
    </row>
    <row r="2666" spans="1:9" ht="25.5" customHeight="1" x14ac:dyDescent="0.2">
      <c r="A2666" s="27">
        <v>2664</v>
      </c>
      <c r="B2666" s="29" t="s">
        <v>852</v>
      </c>
      <c r="C2666" s="29" t="str">
        <f ca="1">IFERROR(__xludf.DUMMYFUNCTION("GOOGLETRANSLATE(C2516,""en"",""hr"")"),"Vijak")</f>
        <v>Vijak</v>
      </c>
      <c r="D2666" s="28" t="s">
        <v>11</v>
      </c>
      <c r="E2666" s="29">
        <v>1</v>
      </c>
      <c r="F2666" s="17"/>
    </row>
    <row r="2667" spans="1:9" ht="25.5" customHeight="1" x14ac:dyDescent="0.2">
      <c r="A2667" s="27">
        <v>2665</v>
      </c>
      <c r="B2667" s="29" t="s">
        <v>826</v>
      </c>
      <c r="C2667" s="29" t="str">
        <f ca="1">IFERROR(__xludf.DUMMYFUNCTION("GOOGLETRANSLATE(C2483,""en"",""hr"")"),"Vijak")</f>
        <v>Vijak</v>
      </c>
      <c r="D2667" s="28" t="s">
        <v>11</v>
      </c>
      <c r="E2667" s="29">
        <v>1</v>
      </c>
      <c r="F2667" s="17"/>
    </row>
    <row r="2668" spans="1:9" ht="25.5" customHeight="1" x14ac:dyDescent="0.2">
      <c r="A2668" s="27">
        <v>2666</v>
      </c>
      <c r="B2668" s="29" t="s">
        <v>770</v>
      </c>
      <c r="C2668" s="29" t="str">
        <f ca="1">IFERROR(__xludf.DUMMYFUNCTION("GOOGLETRANSLATE(C2399,""en"",""hr"")"),"Vijak")</f>
        <v>Vijak</v>
      </c>
      <c r="D2668" s="28" t="s">
        <v>11</v>
      </c>
      <c r="E2668" s="29">
        <v>1</v>
      </c>
      <c r="F2668" s="17"/>
    </row>
    <row r="2669" spans="1:9" ht="25.5" customHeight="1" x14ac:dyDescent="0.2">
      <c r="A2669" s="27">
        <v>2667</v>
      </c>
      <c r="B2669" s="29" t="s">
        <v>808</v>
      </c>
      <c r="C2669" s="29" t="str">
        <f ca="1">IFERROR(__xludf.DUMMYFUNCTION("GOOGLETRANSLATE(C2454,""en"",""hr"")"),"Vijak")</f>
        <v>Vijak</v>
      </c>
      <c r="D2669" s="28" t="s">
        <v>11</v>
      </c>
      <c r="E2669" s="29">
        <v>1</v>
      </c>
      <c r="F2669" s="17"/>
    </row>
    <row r="2670" spans="1:9" ht="25.5" customHeight="1" x14ac:dyDescent="0.2">
      <c r="A2670" s="27">
        <v>2668</v>
      </c>
      <c r="B2670" s="29" t="s">
        <v>775</v>
      </c>
      <c r="C2670" s="29" t="str">
        <f ca="1">IFERROR(__xludf.DUMMYFUNCTION("GOOGLETRANSLATE(C2404,""en"",""hr"")"),"Vijak")</f>
        <v>Vijak</v>
      </c>
      <c r="D2670" s="28" t="s">
        <v>11</v>
      </c>
      <c r="E2670" s="29">
        <v>1</v>
      </c>
      <c r="F2670" s="17"/>
    </row>
    <row r="2671" spans="1:9" ht="25.5" customHeight="1" x14ac:dyDescent="0.2">
      <c r="A2671" s="27">
        <v>2669</v>
      </c>
      <c r="B2671" s="29" t="s">
        <v>880</v>
      </c>
      <c r="C2671" s="29" t="str">
        <f ca="1">IFERROR(__xludf.DUMMYFUNCTION("GOOGLETRANSLATE(C2575,""en"",""hr"")"),"Torziona poluga")</f>
        <v>Torziona poluga</v>
      </c>
      <c r="D2671" s="28" t="s">
        <v>11</v>
      </c>
      <c r="E2671" s="29">
        <v>1</v>
      </c>
      <c r="F2671" s="17"/>
    </row>
    <row r="2672" spans="1:9" ht="25.5" customHeight="1" x14ac:dyDescent="0.2">
      <c r="A2672" s="27">
        <v>2670</v>
      </c>
      <c r="B2672" s="29" t="s">
        <v>814</v>
      </c>
      <c r="C2672" s="29" t="str">
        <f ca="1">IFERROR(__xludf.DUMMYFUNCTION("GOOGLETRANSLATE(C2464,""en"",""hr"")"),"Vodič")</f>
        <v>Vodič</v>
      </c>
      <c r="D2672" s="28" t="s">
        <v>11</v>
      </c>
      <c r="E2672" s="29">
        <v>1</v>
      </c>
      <c r="F2672" s="17"/>
    </row>
    <row r="2673" spans="1:9" ht="25.5" customHeight="1" x14ac:dyDescent="0.2">
      <c r="A2673" s="27">
        <v>2671</v>
      </c>
      <c r="B2673" s="29" t="s">
        <v>815</v>
      </c>
      <c r="C2673" s="29" t="str">
        <f ca="1">IFERROR(__xludf.DUMMYFUNCTION("GOOGLETRANSLATE(C2465,""en"",""hr"")"),"Poklopna ploča")</f>
        <v>Poklopna ploča</v>
      </c>
      <c r="D2673" s="28" t="s">
        <v>11</v>
      </c>
      <c r="E2673" s="29">
        <v>1</v>
      </c>
      <c r="F2673" s="17"/>
    </row>
    <row r="2674" spans="1:9" ht="25.5" customHeight="1" x14ac:dyDescent="0.2">
      <c r="A2674" s="27">
        <v>2672</v>
      </c>
      <c r="B2674" s="29" t="s">
        <v>621</v>
      </c>
      <c r="C2674" s="29" t="str">
        <f ca="1">IFERROR(__xludf.DUMMYFUNCTION("GOOGLETRANSLATE(C1930,""en"",""hr"")"),"Hidromotor")</f>
        <v>Hidromotor</v>
      </c>
      <c r="D2674" s="28" t="s">
        <v>11</v>
      </c>
      <c r="E2674" s="29">
        <v>1</v>
      </c>
      <c r="F2674" s="17"/>
    </row>
    <row r="2675" spans="1:9" ht="25.5" customHeight="1" x14ac:dyDescent="0.2">
      <c r="A2675" s="27">
        <v>2673</v>
      </c>
      <c r="B2675" s="29" t="s">
        <v>212</v>
      </c>
      <c r="C2675" s="29" t="str">
        <f ca="1">IFERROR(__xludf.DUMMYFUNCTION("GOOGLETRANSLATE(C448,""en"",""hr"")"),"Perilica")</f>
        <v>Perilica</v>
      </c>
      <c r="D2675" s="28" t="s">
        <v>11</v>
      </c>
      <c r="E2675" s="29">
        <v>1</v>
      </c>
      <c r="F2675" s="17"/>
    </row>
    <row r="2676" spans="1:9" ht="25.5" customHeight="1" x14ac:dyDescent="0.2">
      <c r="A2676" s="27">
        <v>2674</v>
      </c>
      <c r="B2676" s="29" t="s">
        <v>614</v>
      </c>
      <c r="C2676" s="29" t="str">
        <f ca="1">IFERROR(__xludf.DUMMYFUNCTION("GOOGLETRANSLATE(C1907,""en"",""hr"")"),"Potrošna ploča")</f>
        <v>Potrošna ploča</v>
      </c>
      <c r="D2676" s="28" t="s">
        <v>11</v>
      </c>
      <c r="E2676" s="29">
        <v>1</v>
      </c>
      <c r="F2676" s="17"/>
    </row>
    <row r="2677" spans="1:9" ht="25.5" customHeight="1" x14ac:dyDescent="0.2">
      <c r="A2677" s="27">
        <v>2675</v>
      </c>
      <c r="B2677" s="29" t="s">
        <v>868</v>
      </c>
      <c r="C2677" s="29" t="str">
        <f ca="1">IFERROR(__xludf.DUMMYFUNCTION("GOOGLETRANSLATE(C2547,""en"",""hr"")"),"Distantni grm")</f>
        <v>Distantni grm</v>
      </c>
      <c r="D2677" s="28" t="s">
        <v>11</v>
      </c>
      <c r="E2677" s="29">
        <v>1</v>
      </c>
      <c r="F2677" s="17"/>
    </row>
    <row r="2678" spans="1:9" ht="25.5" customHeight="1" x14ac:dyDescent="0.2">
      <c r="A2678" s="27">
        <v>2676</v>
      </c>
      <c r="B2678" s="29" t="s">
        <v>1322</v>
      </c>
      <c r="C2678" s="29" t="str">
        <f ca="1">IFERROR(__xludf.DUMMYFUNCTION("GOOGLETRANSLATE(C4159,""en"",""hr"")"),"Stezaljka")</f>
        <v>Stezaljka</v>
      </c>
      <c r="D2678" s="28" t="s">
        <v>11</v>
      </c>
      <c r="E2678" s="29">
        <v>1</v>
      </c>
      <c r="F2678" s="17"/>
      <c r="I2678" s="4" t="b">
        <f>INT(F2323*100)=(F2323*100)</f>
        <v>1</v>
      </c>
    </row>
    <row r="2679" spans="1:9" ht="25.5" customHeight="1" x14ac:dyDescent="0.2">
      <c r="A2679" s="27">
        <v>2677</v>
      </c>
      <c r="B2679" s="29" t="s">
        <v>1314</v>
      </c>
      <c r="C2679" s="29" t="str">
        <f ca="1">IFERROR(__xludf.DUMMYFUNCTION("GOOGLETRANSLATE(C4150,""en"",""hr"")"),"Stezaljka kpl.")</f>
        <v>Stezaljka kpl.</v>
      </c>
      <c r="D2679" s="28" t="s">
        <v>11</v>
      </c>
      <c r="E2679" s="29">
        <v>1</v>
      </c>
      <c r="F2679" s="17"/>
    </row>
    <row r="2680" spans="1:9" ht="25.5" customHeight="1" x14ac:dyDescent="0.2">
      <c r="A2680" s="27">
        <v>2678</v>
      </c>
      <c r="B2680" s="29" t="s">
        <v>1324</v>
      </c>
      <c r="C2680" s="29" t="str">
        <f ca="1">IFERROR(__xludf.DUMMYFUNCTION("GOOGLETRANSLATE(C4163,""en"",""hr"")"),"Stezaljka kpl.")</f>
        <v>Stezaljka kpl.</v>
      </c>
      <c r="D2680" s="28" t="s">
        <v>11</v>
      </c>
      <c r="E2680" s="29">
        <v>1</v>
      </c>
      <c r="F2680" s="17"/>
    </row>
    <row r="2681" spans="1:9" ht="25.5" customHeight="1" x14ac:dyDescent="0.2">
      <c r="A2681" s="27">
        <v>2679</v>
      </c>
      <c r="B2681" s="29" t="s">
        <v>1245</v>
      </c>
      <c r="C2681" s="29" t="str">
        <f ca="1">IFERROR(__xludf.DUMMYFUNCTION("GOOGLETRANSLATE(C3951,""en"",""hr"")"),"Ventil za kontrolu tlaka")</f>
        <v>Ventil za kontrolu tlaka</v>
      </c>
      <c r="D2681" s="28" t="s">
        <v>11</v>
      </c>
      <c r="E2681" s="29">
        <v>1</v>
      </c>
      <c r="F2681" s="17"/>
    </row>
    <row r="2682" spans="1:9" ht="25.5" customHeight="1" x14ac:dyDescent="0.2">
      <c r="A2682" s="27">
        <v>2680</v>
      </c>
      <c r="B2682" s="29" t="s">
        <v>1315</v>
      </c>
      <c r="C2682" s="29" t="str">
        <f ca="1">IFERROR(__xludf.DUMMYFUNCTION("GOOGLETRANSLATE(C4151,""en"",""hr"")"),"Šipka za pranje")</f>
        <v>Šipka za pranje</v>
      </c>
      <c r="D2682" s="28" t="s">
        <v>11</v>
      </c>
      <c r="E2682" s="29">
        <v>1</v>
      </c>
      <c r="F2682" s="17"/>
      <c r="I2682" s="4" t="b">
        <f>INT(F2680*100)=(F2680*100)</f>
        <v>1</v>
      </c>
    </row>
    <row r="2683" spans="1:9" ht="25.5" customHeight="1" x14ac:dyDescent="0.2">
      <c r="A2683" s="27">
        <v>2681</v>
      </c>
      <c r="B2683" s="29" t="s">
        <v>908</v>
      </c>
      <c r="C2683" s="29" t="str">
        <f ca="1">IFERROR(__xludf.DUMMYFUNCTION("GOOGLETRANSLATE(C2708,""en"",""hr"")"),"Vilica")</f>
        <v>Vilica</v>
      </c>
      <c r="D2683" s="28" t="s">
        <v>11</v>
      </c>
      <c r="E2683" s="29">
        <v>1</v>
      </c>
      <c r="F2683" s="17"/>
    </row>
    <row r="2684" spans="1:9" ht="25.5" customHeight="1" x14ac:dyDescent="0.2">
      <c r="A2684" s="27">
        <v>2682</v>
      </c>
      <c r="B2684" s="29" t="s">
        <v>895</v>
      </c>
      <c r="C2684" s="29" t="str">
        <f ca="1">IFERROR(__xludf.DUMMYFUNCTION("GOOGLETRANSLATE(C2653,""en"",""hr"")"),"Okretno-nagibna ploča")</f>
        <v>Okretno-nagibna ploča</v>
      </c>
      <c r="D2684" s="28" t="s">
        <v>11</v>
      </c>
      <c r="E2684" s="29">
        <v>1</v>
      </c>
      <c r="F2684" s="17"/>
    </row>
    <row r="2685" spans="1:9" ht="25.5" customHeight="1" x14ac:dyDescent="0.2">
      <c r="A2685" s="27">
        <v>2683</v>
      </c>
      <c r="B2685" s="29" t="s">
        <v>912</v>
      </c>
      <c r="C2685" s="29" t="str">
        <f ca="1">IFERROR(__xludf.DUMMYFUNCTION("GOOGLETRANSLATE(C2733,""en"",""hr"")"),"Ploča")</f>
        <v>Ploča</v>
      </c>
      <c r="D2685" s="28" t="s">
        <v>11</v>
      </c>
      <c r="E2685" s="29">
        <v>1</v>
      </c>
      <c r="F2685" s="17"/>
    </row>
    <row r="2686" spans="1:9" ht="25.5" customHeight="1" x14ac:dyDescent="0.2">
      <c r="A2686" s="27">
        <v>2684</v>
      </c>
      <c r="B2686" s="29" t="s">
        <v>916</v>
      </c>
      <c r="C2686" s="29" t="str">
        <f ca="1">IFERROR(__xludf.DUMMYFUNCTION("GOOGLETRANSLATE(C2754,""en"",""hr"")"),"Distantni grm")</f>
        <v>Distantni grm</v>
      </c>
      <c r="D2686" s="28" t="s">
        <v>11</v>
      </c>
      <c r="E2686" s="29">
        <v>1</v>
      </c>
      <c r="F2686" s="17"/>
    </row>
    <row r="2687" spans="1:9" ht="25.5" customHeight="1" x14ac:dyDescent="0.2">
      <c r="A2687" s="27">
        <v>2685</v>
      </c>
      <c r="B2687" s="29" t="s">
        <v>922</v>
      </c>
      <c r="C2687" s="29" t="str">
        <f ca="1">IFERROR(__xludf.DUMMYFUNCTION("GOOGLETRANSLATE(C2777,""en"",""hr"")"),"Gumena pregača")</f>
        <v>Gumena pregača</v>
      </c>
      <c r="D2687" s="28" t="s">
        <v>11</v>
      </c>
      <c r="E2687" s="29">
        <v>1</v>
      </c>
      <c r="F2687" s="17"/>
    </row>
    <row r="2688" spans="1:9" ht="25.5" customHeight="1" x14ac:dyDescent="0.2">
      <c r="A2688" s="27">
        <v>2686</v>
      </c>
      <c r="B2688" s="29" t="s">
        <v>927</v>
      </c>
      <c r="C2688" s="29" t="str">
        <f ca="1">IFERROR(__xludf.DUMMYFUNCTION("GOOGLETRANSLATE(C2788,""en"",""hr"")"),"Ruka")</f>
        <v>Ruka</v>
      </c>
      <c r="D2688" s="28" t="s">
        <v>11</v>
      </c>
      <c r="E2688" s="29">
        <v>1</v>
      </c>
      <c r="F2688" s="17"/>
    </row>
    <row r="2689" spans="1:9" ht="25.5" customHeight="1" x14ac:dyDescent="0.2">
      <c r="A2689" s="27">
        <v>2687</v>
      </c>
      <c r="B2689" s="29" t="s">
        <v>923</v>
      </c>
      <c r="C2689" s="29" t="str">
        <f ca="1">IFERROR(__xludf.DUMMYFUNCTION("GOOGLETRANSLATE(C2778,""en"",""hr"")"),"Traka")</f>
        <v>Traka</v>
      </c>
      <c r="D2689" s="28" t="s">
        <v>11</v>
      </c>
      <c r="E2689" s="29">
        <v>1</v>
      </c>
      <c r="F2689" s="17"/>
    </row>
    <row r="2690" spans="1:9" ht="25.5" customHeight="1" x14ac:dyDescent="0.2">
      <c r="A2690" s="27">
        <v>2688</v>
      </c>
      <c r="B2690" s="29" t="s">
        <v>924</v>
      </c>
      <c r="C2690" s="29" t="str">
        <f ca="1">IFERROR(__xludf.DUMMYFUNCTION("GOOGLETRANSLATE(C2779,""en"",""hr"")"),"Štap")</f>
        <v>Štap</v>
      </c>
      <c r="D2690" s="28" t="s">
        <v>11</v>
      </c>
      <c r="E2690" s="29">
        <v>1</v>
      </c>
      <c r="F2690" s="17"/>
    </row>
    <row r="2691" spans="1:9" ht="25.5" customHeight="1" x14ac:dyDescent="0.2">
      <c r="A2691" s="27">
        <v>2689</v>
      </c>
      <c r="B2691" s="29" t="s">
        <v>925</v>
      </c>
      <c r="C2691" s="29" t="str">
        <f ca="1">IFERROR(__xludf.DUMMYFUNCTION("GOOGLETRANSLATE(C2780,""en"",""hr"")"),"Stezna traka")</f>
        <v>Stezna traka</v>
      </c>
      <c r="D2691" s="28" t="s">
        <v>11</v>
      </c>
      <c r="E2691" s="29">
        <v>1</v>
      </c>
      <c r="F2691" s="17"/>
    </row>
    <row r="2692" spans="1:9" ht="25.5" customHeight="1" x14ac:dyDescent="0.2">
      <c r="A2692" s="27">
        <v>2690</v>
      </c>
      <c r="B2692" s="29" t="s">
        <v>953</v>
      </c>
      <c r="C2692" s="29" t="str">
        <f ca="1">IFERROR(__xludf.DUMMYFUNCTION("GOOGLETRANSLATE(C3028,""en"",""hr"")"),"Potporna ruka")</f>
        <v>Potporna ruka</v>
      </c>
      <c r="D2692" s="28" t="s">
        <v>11</v>
      </c>
      <c r="E2692" s="29">
        <v>1</v>
      </c>
      <c r="F2692" s="17"/>
    </row>
    <row r="2693" spans="1:9" ht="25.5" customHeight="1" x14ac:dyDescent="0.2">
      <c r="A2693" s="27">
        <v>2691</v>
      </c>
      <c r="B2693" s="29" t="s">
        <v>897</v>
      </c>
      <c r="C2693" s="29" t="str">
        <f ca="1">IFERROR(__xludf.DUMMYFUNCTION("GOOGLETRANSLATE(C2656,""en"",""hr"")"),"Vijak")</f>
        <v>Vijak</v>
      </c>
      <c r="D2693" s="28" t="s">
        <v>11</v>
      </c>
      <c r="E2693" s="29">
        <v>1</v>
      </c>
      <c r="F2693" s="17"/>
    </row>
    <row r="2694" spans="1:9" ht="25.5" customHeight="1" x14ac:dyDescent="0.2">
      <c r="A2694" s="27">
        <v>2692</v>
      </c>
      <c r="B2694" s="29" t="s">
        <v>710</v>
      </c>
      <c r="C2694" s="29" t="str">
        <f ca="1">IFERROR(__xludf.DUMMYFUNCTION("GOOGLETRANSLATE(C2245,""en"",""hr"")"),"Držač mlaznice za vodu")</f>
        <v>Držač mlaznice za vodu</v>
      </c>
      <c r="D2694" s="28" t="s">
        <v>11</v>
      </c>
      <c r="E2694" s="29">
        <v>1</v>
      </c>
      <c r="F2694" s="17"/>
    </row>
    <row r="2695" spans="1:9" ht="25.5" customHeight="1" x14ac:dyDescent="0.2">
      <c r="A2695" s="27">
        <v>2693</v>
      </c>
      <c r="B2695" s="29" t="s">
        <v>1021</v>
      </c>
      <c r="C2695" s="29" t="str">
        <f ca="1">IFERROR(__xludf.DUMMYFUNCTION("GOOGLETRANSLATE(C3301,""en"",""hr"")"),"Upravljački valjak")</f>
        <v>Upravljački valjak</v>
      </c>
      <c r="D2695" s="28" t="s">
        <v>11</v>
      </c>
      <c r="E2695" s="29">
        <v>1</v>
      </c>
      <c r="F2695" s="17"/>
    </row>
    <row r="2696" spans="1:9" ht="25.5" customHeight="1" x14ac:dyDescent="0.2">
      <c r="A2696" s="27">
        <v>2694</v>
      </c>
      <c r="B2696" s="29" t="s">
        <v>906</v>
      </c>
      <c r="C2696" s="29" t="str">
        <f ca="1">IFERROR(__xludf.DUMMYFUNCTION("GOOGLETRANSLATE(C2699,""en"",""hr"")"),"Cijev")</f>
        <v>Cijev</v>
      </c>
      <c r="D2696" s="28" t="s">
        <v>11</v>
      </c>
      <c r="E2696" s="29">
        <v>1</v>
      </c>
      <c r="F2696" s="17"/>
    </row>
    <row r="2697" spans="1:9" ht="25.5" customHeight="1" x14ac:dyDescent="0.2">
      <c r="A2697" s="27">
        <v>2695</v>
      </c>
      <c r="B2697" s="29" t="s">
        <v>1023</v>
      </c>
      <c r="C2697" s="29" t="str">
        <f ca="1">IFERROR(__xludf.DUMMYFUNCTION("GOOGLETRANSLATE(C3313,""en"",""hr"")"),"Perilica")</f>
        <v>Perilica</v>
      </c>
      <c r="D2697" s="28" t="s">
        <v>11</v>
      </c>
      <c r="E2697" s="29">
        <v>1</v>
      </c>
      <c r="F2697" s="17"/>
    </row>
    <row r="2698" spans="1:9" ht="25.5" customHeight="1" x14ac:dyDescent="0.2">
      <c r="A2698" s="27">
        <v>2696</v>
      </c>
      <c r="B2698" s="29" t="s">
        <v>708</v>
      </c>
      <c r="C2698" s="29" t="str">
        <f ca="1">IFERROR(__xludf.DUMMYFUNCTION("GOOGLETRANSLATE(C2238,""en"",""hr"")"),"Hidraulički motor za pogon s četkom")</f>
        <v>Hidraulički motor za pogon s četkom</v>
      </c>
      <c r="D2698" s="28" t="s">
        <v>11</v>
      </c>
      <c r="E2698" s="29">
        <v>1</v>
      </c>
      <c r="F2698" s="17"/>
    </row>
    <row r="2699" spans="1:9" ht="25.5" customHeight="1" x14ac:dyDescent="0.2">
      <c r="A2699" s="27">
        <v>2697</v>
      </c>
      <c r="B2699" s="29" t="s">
        <v>658</v>
      </c>
      <c r="C2699" s="29" t="str">
        <f ca="1">IFERROR(__xludf.DUMMYFUNCTION("GOOGLETRANSLATE(C2082,""en"",""hr"")"),"Vijak")</f>
        <v>Vijak</v>
      </c>
      <c r="D2699" s="28" t="s">
        <v>11</v>
      </c>
      <c r="E2699" s="29">
        <v>1</v>
      </c>
      <c r="F2699" s="17"/>
    </row>
    <row r="2700" spans="1:9" ht="25.5" customHeight="1" x14ac:dyDescent="0.2">
      <c r="A2700" s="27">
        <v>2698</v>
      </c>
      <c r="B2700" s="29" t="s">
        <v>660</v>
      </c>
      <c r="C2700" s="29" t="str">
        <f ca="1">IFERROR(__xludf.DUMMYFUNCTION("GOOGLETRANSLATE(C2085,""en"",""hr"")"),"Hidraulički cilindar, desno")</f>
        <v>Hidraulički cilindar, desno</v>
      </c>
      <c r="D2700" s="28" t="s">
        <v>11</v>
      </c>
      <c r="E2700" s="29">
        <v>1</v>
      </c>
      <c r="F2700" s="17"/>
    </row>
    <row r="2701" spans="1:9" ht="25.5" customHeight="1" x14ac:dyDescent="0.2">
      <c r="A2701" s="27">
        <v>2699</v>
      </c>
      <c r="B2701" s="29" t="s">
        <v>661</v>
      </c>
      <c r="C2701" s="29" t="str">
        <f ca="1">IFERROR(__xludf.DUMMYFUNCTION("GOOGLETRANSLATE(C2086,""en"",""hr"")"),"Hidraulički cilindar, lijevo")</f>
        <v>Hidraulički cilindar, lijevo</v>
      </c>
      <c r="D2701" s="28" t="s">
        <v>11</v>
      </c>
      <c r="E2701" s="29">
        <v>1</v>
      </c>
      <c r="F2701" s="17"/>
      <c r="I2701" s="4" t="b">
        <f>INT(F2699*100)=(F2699*100)</f>
        <v>1</v>
      </c>
    </row>
    <row r="2702" spans="1:9" ht="25.5" customHeight="1" x14ac:dyDescent="0.2">
      <c r="A2702" s="27">
        <v>2700</v>
      </c>
      <c r="B2702" s="29" t="s">
        <v>34</v>
      </c>
      <c r="C2702" s="29" t="str">
        <f ca="1">IFERROR(__xludf.DUMMYFUNCTION("GOOGLETRANSLATE(C50,""en"",""hr"")"),"Stezaljka")</f>
        <v>Stezaljka</v>
      </c>
      <c r="D2702" s="28" t="s">
        <v>11</v>
      </c>
      <c r="E2702" s="29">
        <v>1</v>
      </c>
      <c r="F2702" s="17"/>
    </row>
    <row r="2703" spans="1:9" ht="25.5" customHeight="1" x14ac:dyDescent="0.2">
      <c r="A2703" s="27">
        <v>2701</v>
      </c>
      <c r="B2703" s="29" t="s">
        <v>39</v>
      </c>
      <c r="C2703" s="29" t="str">
        <f ca="1">IFERROR(__xludf.DUMMYFUNCTION("GOOGLETRANSLATE(C55,""en"",""hr"")"),"Pumpa za vodu")</f>
        <v>Pumpa za vodu</v>
      </c>
      <c r="D2703" s="28" t="s">
        <v>11</v>
      </c>
      <c r="E2703" s="29">
        <v>1</v>
      </c>
      <c r="F2703" s="17"/>
    </row>
    <row r="2704" spans="1:9" ht="25.5" customHeight="1" x14ac:dyDescent="0.2">
      <c r="A2704" s="27">
        <v>2702</v>
      </c>
      <c r="B2704" s="29" t="s">
        <v>1118</v>
      </c>
      <c r="C2704" s="29" t="str">
        <f ca="1">IFERROR(__xludf.DUMMYFUNCTION("GOOGLETRANSLATE(C3653,""en"",""hr"")"),"Pumpa za vodu")</f>
        <v>Pumpa za vodu</v>
      </c>
      <c r="D2704" s="28" t="s">
        <v>11</v>
      </c>
      <c r="E2704" s="29">
        <v>1</v>
      </c>
      <c r="F2704" s="17"/>
      <c r="I2704" s="4" t="b">
        <f>INT(F2702*100)=(F2702*100)</f>
        <v>1</v>
      </c>
    </row>
    <row r="2705" spans="1:9" ht="25.5" customHeight="1" x14ac:dyDescent="0.2">
      <c r="A2705" s="27">
        <v>2703</v>
      </c>
      <c r="B2705" s="29" t="s">
        <v>2000</v>
      </c>
      <c r="C2705" s="29" t="str">
        <f ca="1">IFERROR(__xludf.DUMMYFUNCTION("GOOGLETRANSLATE(C6768,""en"",""hr"")"),"Ljepljiva ploča")</f>
        <v>Ljepljiva ploča</v>
      </c>
      <c r="D2705" s="28" t="s">
        <v>11</v>
      </c>
      <c r="E2705" s="29">
        <v>1</v>
      </c>
      <c r="F2705" s="17"/>
    </row>
    <row r="2706" spans="1:9" ht="25.5" customHeight="1" x14ac:dyDescent="0.2">
      <c r="A2706" s="27">
        <v>2704</v>
      </c>
      <c r="B2706" s="29" t="s">
        <v>1262</v>
      </c>
      <c r="C2706" s="29" t="str">
        <f ca="1">IFERROR(__xludf.DUMMYFUNCTION("GOOGLETRANSLATE(C3987,""en"",""hr"")"),"Hidr.-motor")</f>
        <v>Hidr.-motor</v>
      </c>
      <c r="D2706" s="28" t="s">
        <v>11</v>
      </c>
      <c r="E2706" s="29">
        <v>1</v>
      </c>
      <c r="F2706" s="17"/>
    </row>
    <row r="2707" spans="1:9" ht="25.5" customHeight="1" x14ac:dyDescent="0.2">
      <c r="A2707" s="27">
        <v>2705</v>
      </c>
      <c r="B2707" s="29" t="s">
        <v>2001</v>
      </c>
      <c r="C2707" s="29" t="str">
        <f ca="1">IFERROR(__xludf.DUMMYFUNCTION("GOOGLETRANSLATE(C6781,""en"",""hr"")"),"Ljepljiva ploča")</f>
        <v>Ljepljiva ploča</v>
      </c>
      <c r="D2707" s="28" t="s">
        <v>11</v>
      </c>
      <c r="E2707" s="29">
        <v>1</v>
      </c>
      <c r="F2707" s="17"/>
    </row>
    <row r="2708" spans="1:9" ht="25.5" customHeight="1" x14ac:dyDescent="0.2">
      <c r="A2708" s="27">
        <v>2706</v>
      </c>
      <c r="B2708" s="29" t="s">
        <v>72</v>
      </c>
      <c r="C2708" s="29" t="str">
        <f ca="1">IFERROR(__xludf.DUMMYFUNCTION("GOOGLETRANSLATE(C179,""en"",""hr"")"),"Filtar zraka kpl.")</f>
        <v>Filtar zraka kpl.</v>
      </c>
      <c r="D2708" s="28" t="s">
        <v>11</v>
      </c>
      <c r="E2708" s="29">
        <v>1</v>
      </c>
      <c r="F2708" s="17"/>
      <c r="I2708" s="4" t="b">
        <f>INT(F2706*100)=(F2706*100)</f>
        <v>1</v>
      </c>
    </row>
    <row r="2709" spans="1:9" ht="25.5" customHeight="1" x14ac:dyDescent="0.2">
      <c r="A2709" s="27">
        <v>2707</v>
      </c>
      <c r="B2709" s="29" t="s">
        <v>125</v>
      </c>
      <c r="C2709" s="29" t="str">
        <f ca="1">IFERROR(__xludf.DUMMYFUNCTION("GOOGLETRANSLATE(C255,""en"",""hr"")"),"Filter goriva cpl.")</f>
        <v>Filter goriva cpl.</v>
      </c>
      <c r="D2709" s="28" t="s">
        <v>11</v>
      </c>
      <c r="E2709" s="29">
        <v>1</v>
      </c>
      <c r="F2709" s="17"/>
    </row>
    <row r="2710" spans="1:9" ht="25.5" customHeight="1" x14ac:dyDescent="0.2">
      <c r="A2710" s="27">
        <v>2708</v>
      </c>
      <c r="B2710" s="29" t="s">
        <v>892</v>
      </c>
      <c r="C2710" s="29" t="str">
        <f ca="1">IFERROR(__xludf.DUMMYFUNCTION("GOOGLETRANSLATE(C2640,""en"",""hr"")"),"Priključak")</f>
        <v>Priključak</v>
      </c>
      <c r="D2710" s="28" t="s">
        <v>11</v>
      </c>
      <c r="E2710" s="29">
        <v>1</v>
      </c>
      <c r="F2710" s="17"/>
    </row>
    <row r="2711" spans="1:9" ht="25.5" customHeight="1" x14ac:dyDescent="0.2">
      <c r="A2711" s="27">
        <v>2709</v>
      </c>
      <c r="B2711" s="29" t="s">
        <v>820</v>
      </c>
      <c r="C2711" s="29" t="str">
        <f ca="1">IFERROR(__xludf.DUMMYFUNCTION("GOOGLETRANSLATE(C2473,""en"",""hr"")"),"Perilica")</f>
        <v>Perilica</v>
      </c>
      <c r="D2711" s="28" t="s">
        <v>11</v>
      </c>
      <c r="E2711" s="29">
        <v>1</v>
      </c>
      <c r="F2711" s="17"/>
    </row>
    <row r="2712" spans="1:9" ht="25.5" customHeight="1" x14ac:dyDescent="0.2">
      <c r="A2712" s="27">
        <v>2710</v>
      </c>
      <c r="B2712" s="29" t="s">
        <v>503</v>
      </c>
      <c r="C2712" s="29" t="str">
        <f ca="1">IFERROR(__xludf.DUMMYFUNCTION("GOOGLETRANSLATE(C1246,""en"",""hr"")"),"Oblikovano crijevo")</f>
        <v>Oblikovano crijevo</v>
      </c>
      <c r="D2712" s="28" t="s">
        <v>11</v>
      </c>
      <c r="E2712" s="29">
        <v>1</v>
      </c>
      <c r="F2712" s="17"/>
    </row>
    <row r="2713" spans="1:9" ht="25.5" customHeight="1" x14ac:dyDescent="0.2">
      <c r="A2713" s="27">
        <v>2711</v>
      </c>
      <c r="B2713" s="29" t="s">
        <v>1452</v>
      </c>
      <c r="C2713" s="29" t="str">
        <f ca="1">IFERROR(__xludf.DUMMYFUNCTION("GOOGLETRANSLATE(C4745,""en"",""hr"")"),"Ručni strugač")</f>
        <v>Ručni strugač</v>
      </c>
      <c r="D2713" s="28" t="s">
        <v>11</v>
      </c>
      <c r="E2713" s="29">
        <v>1</v>
      </c>
      <c r="F2713" s="17"/>
    </row>
    <row r="2714" spans="1:9" ht="25.5" customHeight="1" x14ac:dyDescent="0.2">
      <c r="A2714" s="27">
        <v>2712</v>
      </c>
      <c r="B2714" s="29" t="s">
        <v>162</v>
      </c>
      <c r="C2714" s="29" t="str">
        <f ca="1">IFERROR(__xludf.DUMMYFUNCTION("GOOGLETRANSLATE(C313,""en"",""hr"")"),"Odstojna cijev")</f>
        <v>Odstojna cijev</v>
      </c>
      <c r="D2714" s="28" t="s">
        <v>11</v>
      </c>
      <c r="E2714" s="29">
        <v>1</v>
      </c>
      <c r="F2714" s="17"/>
    </row>
    <row r="2715" spans="1:9" ht="25.5" customHeight="1" x14ac:dyDescent="0.2">
      <c r="A2715" s="27">
        <v>2713</v>
      </c>
      <c r="B2715" s="29" t="s">
        <v>954</v>
      </c>
      <c r="C2715" s="29" t="str">
        <f ca="1">IFERROR(__xludf.DUMMYFUNCTION("GOOGLETRANSLATE(C3030,""en"",""hr"")"),"Lagana četka za korov")</f>
        <v>Lagana četka za korov</v>
      </c>
      <c r="D2715" s="28" t="s">
        <v>11</v>
      </c>
      <c r="E2715" s="29">
        <v>1</v>
      </c>
      <c r="F2715" s="17"/>
    </row>
    <row r="2716" spans="1:9" ht="25.5" customHeight="1" x14ac:dyDescent="0.2">
      <c r="A2716" s="27">
        <v>2714</v>
      </c>
      <c r="B2716" s="29" t="s">
        <v>31</v>
      </c>
      <c r="C2716" s="29" t="str">
        <f ca="1">IFERROR(__xludf.DUMMYFUNCTION("GOOGLETRANSLATE(C40,""en"",""hr"")"),"Reflektor")</f>
        <v>Reflektor</v>
      </c>
      <c r="D2716" s="28" t="s">
        <v>11</v>
      </c>
      <c r="E2716" s="29">
        <v>1</v>
      </c>
      <c r="F2716" s="17"/>
    </row>
    <row r="2717" spans="1:9" ht="25.5" customHeight="1" x14ac:dyDescent="0.2">
      <c r="A2717" s="27">
        <v>2715</v>
      </c>
      <c r="B2717" s="29" t="s">
        <v>1899</v>
      </c>
      <c r="C2717" s="29" t="str">
        <f ca="1">IFERROR(__xludf.DUMMYFUNCTION("GOOGLETRANSLATE(C6622,""en"",""hr"")"),"Velcro® traka")</f>
        <v>Velcro® traka</v>
      </c>
      <c r="D2717" s="28" t="s">
        <v>11</v>
      </c>
      <c r="E2717" s="29">
        <v>1</v>
      </c>
      <c r="F2717" s="17"/>
    </row>
    <row r="2718" spans="1:9" ht="25.5" customHeight="1" x14ac:dyDescent="0.2">
      <c r="A2718" s="27">
        <v>2716</v>
      </c>
      <c r="B2718" s="29" t="s">
        <v>2005</v>
      </c>
      <c r="C2718" s="29" t="str">
        <f ca="1">IFERROR(__xludf.DUMMYFUNCTION("GOOGLETRANSLATE(C6803,""en"",""hr"")"),"Traka upozorenja")</f>
        <v>Traka upozorenja</v>
      </c>
      <c r="D2718" s="28" t="s">
        <v>11</v>
      </c>
      <c r="E2718" s="29">
        <v>1</v>
      </c>
      <c r="F2718" s="17"/>
    </row>
    <row r="2719" spans="1:9" ht="25.5" customHeight="1" x14ac:dyDescent="0.2">
      <c r="A2719" s="27">
        <v>2717</v>
      </c>
      <c r="B2719" s="29" t="s">
        <v>1101</v>
      </c>
      <c r="C2719" s="29" t="str">
        <f ca="1">IFERROR(__xludf.DUMMYFUNCTION("GOOGLETRANSLATE(C3570,""en"",""hr"")"),"brtva")</f>
        <v>brtva</v>
      </c>
      <c r="D2719" s="28" t="s">
        <v>11</v>
      </c>
      <c r="E2719" s="29">
        <v>1</v>
      </c>
      <c r="F2719" s="17"/>
    </row>
    <row r="2720" spans="1:9" ht="25.5" customHeight="1" x14ac:dyDescent="0.2">
      <c r="A2720" s="27">
        <v>2718</v>
      </c>
      <c r="B2720" s="29" t="s">
        <v>1029</v>
      </c>
      <c r="C2720" s="29" t="str">
        <f ca="1">IFERROR(__xludf.DUMMYFUNCTION("GOOGLETRANSLATE(C3353,""en"",""hr"")"),"Lisnata opruga")</f>
        <v>Lisnata opruga</v>
      </c>
      <c r="D2720" s="28" t="s">
        <v>11</v>
      </c>
      <c r="E2720" s="29">
        <v>1</v>
      </c>
      <c r="F2720" s="17"/>
    </row>
    <row r="2721" spans="1:9" ht="25.5" customHeight="1" x14ac:dyDescent="0.2">
      <c r="A2721" s="27">
        <v>2719</v>
      </c>
      <c r="B2721" s="29" t="s">
        <v>1051</v>
      </c>
      <c r="C2721" s="29" t="str">
        <f ca="1">IFERROR(__xludf.DUMMYFUNCTION("GOOGLETRANSLATE(C3436,""en"",""hr"")"),"brtva")</f>
        <v>brtva</v>
      </c>
      <c r="D2721" s="28" t="s">
        <v>11</v>
      </c>
      <c r="E2721" s="29">
        <v>1</v>
      </c>
      <c r="F2721" s="17"/>
    </row>
    <row r="2722" spans="1:9" ht="25.5" customHeight="1" x14ac:dyDescent="0.2">
      <c r="A2722" s="27">
        <v>2720</v>
      </c>
      <c r="B2722" s="29" t="s">
        <v>662</v>
      </c>
      <c r="C2722" s="29" t="str">
        <f ca="1">IFERROR(__xludf.DUMMYFUNCTION("GOOGLETRANSLATE(C2087,""en"",""hr"")"),"Set brtvila")</f>
        <v>Set brtvila</v>
      </c>
      <c r="D2722" s="28" t="s">
        <v>11</v>
      </c>
      <c r="E2722" s="29">
        <v>1</v>
      </c>
      <c r="F2722" s="17"/>
    </row>
    <row r="2723" spans="1:9" ht="25.5" customHeight="1" x14ac:dyDescent="0.2">
      <c r="A2723" s="27">
        <v>2721</v>
      </c>
      <c r="B2723" s="29" t="s">
        <v>1205</v>
      </c>
      <c r="C2723" s="29" t="str">
        <f ca="1">IFERROR(__xludf.DUMMYFUNCTION("GOOGLETRANSLATE(C3820,""en"",""hr"")"),"Komplet prstena")</f>
        <v>Komplet prstena</v>
      </c>
      <c r="D2723" s="28" t="s">
        <v>11</v>
      </c>
      <c r="E2723" s="29">
        <v>1</v>
      </c>
      <c r="F2723" s="17"/>
    </row>
    <row r="2724" spans="1:9" ht="25.5" customHeight="1" x14ac:dyDescent="0.2">
      <c r="A2724" s="27">
        <v>2722</v>
      </c>
      <c r="B2724" s="29" t="s">
        <v>1204</v>
      </c>
      <c r="C2724" s="29" t="str">
        <f ca="1">IFERROR(__xludf.DUMMYFUNCTION("GOOGLETRANSLATE(C3819,""en"",""hr"")"),"Set brtvila")</f>
        <v>Set brtvila</v>
      </c>
      <c r="D2724" s="28" t="s">
        <v>11</v>
      </c>
      <c r="E2724" s="29">
        <v>1</v>
      </c>
      <c r="F2724" s="17"/>
    </row>
    <row r="2725" spans="1:9" ht="25.5" customHeight="1" x14ac:dyDescent="0.2">
      <c r="A2725" s="27">
        <v>2723</v>
      </c>
      <c r="B2725" s="29" t="s">
        <v>1201</v>
      </c>
      <c r="C2725" s="29" t="str">
        <f ca="1">IFERROR(__xludf.DUMMYFUNCTION("GOOGLETRANSLATE(C3816,""en"",""hr"")"),"Set ventila")</f>
        <v>Set ventila</v>
      </c>
      <c r="D2725" s="28" t="s">
        <v>11</v>
      </c>
      <c r="E2725" s="29">
        <v>1</v>
      </c>
      <c r="F2725" s="17"/>
    </row>
    <row r="2726" spans="1:9" ht="25.5" customHeight="1" x14ac:dyDescent="0.2">
      <c r="A2726" s="27">
        <v>2724</v>
      </c>
      <c r="B2726" s="29" t="s">
        <v>1202</v>
      </c>
      <c r="C2726" s="29" t="str">
        <f ca="1">IFERROR(__xludf.DUMMYFUNCTION("GOOGLETRANSLATE(C3817,""en"",""hr"")"),"Klipni set")</f>
        <v>Klipni set</v>
      </c>
      <c r="D2726" s="28" t="s">
        <v>11</v>
      </c>
      <c r="E2726" s="29">
        <v>1</v>
      </c>
      <c r="F2726" s="17"/>
      <c r="I2726" s="4" t="b">
        <f>INT(F2724*100)=(F2724*100)</f>
        <v>1</v>
      </c>
    </row>
    <row r="2727" spans="1:9" ht="25.5" customHeight="1" x14ac:dyDescent="0.2">
      <c r="A2727" s="27">
        <v>2725</v>
      </c>
      <c r="B2727" s="29" t="s">
        <v>1151</v>
      </c>
      <c r="C2727" s="29" t="str">
        <f ca="1">IFERROR(__xludf.DUMMYFUNCTION("GOOGLETRANSLATE(C3743,""en"",""hr"")"),"Manometar")</f>
        <v>Manometar</v>
      </c>
      <c r="D2727" s="28" t="s">
        <v>11</v>
      </c>
      <c r="E2727" s="29">
        <v>1</v>
      </c>
      <c r="F2727" s="17"/>
    </row>
    <row r="2728" spans="1:9" ht="25.5" customHeight="1" x14ac:dyDescent="0.2">
      <c r="A2728" s="27">
        <v>2726</v>
      </c>
      <c r="B2728" s="29" t="s">
        <v>1634</v>
      </c>
      <c r="C2728" s="29" t="str">
        <f ca="1">IFERROR(__xludf.DUMMYFUNCTION("GOOGLETRANSLATE(C5496,""en"",""hr"")"),"brtva")</f>
        <v>brtva</v>
      </c>
      <c r="D2728" s="28" t="s">
        <v>11</v>
      </c>
      <c r="E2728" s="29">
        <v>1</v>
      </c>
      <c r="F2728" s="17"/>
    </row>
    <row r="2729" spans="1:9" ht="25.5" customHeight="1" x14ac:dyDescent="0.2">
      <c r="A2729" s="27">
        <v>2727</v>
      </c>
      <c r="B2729" s="29" t="s">
        <v>937</v>
      </c>
      <c r="C2729" s="29" t="str">
        <f ca="1">IFERROR(__xludf.DUMMYFUNCTION("GOOGLETRANSLATE(C2855,""en"",""hr"")"),"Set brtvila")</f>
        <v>Set brtvila</v>
      </c>
      <c r="D2729" s="28" t="s">
        <v>11</v>
      </c>
      <c r="E2729" s="29">
        <v>1</v>
      </c>
      <c r="F2729" s="17"/>
      <c r="I2729" s="4" t="b">
        <f>INT(F2727*100)=(F2727*100)</f>
        <v>1</v>
      </c>
    </row>
    <row r="2730" spans="1:9" ht="25.5" customHeight="1" x14ac:dyDescent="0.2">
      <c r="A2730" s="27">
        <v>2728</v>
      </c>
      <c r="B2730" s="29" t="s">
        <v>1196</v>
      </c>
      <c r="C2730" s="29" t="str">
        <f ca="1">IFERROR(__xludf.DUMMYFUNCTION("GOOGLETRANSLATE(C3810,""en"",""hr"")"),"O PRSTEN")</f>
        <v>O PRSTEN</v>
      </c>
      <c r="D2730" s="28" t="s">
        <v>11</v>
      </c>
      <c r="E2730" s="29">
        <v>1</v>
      </c>
      <c r="F2730" s="17"/>
    </row>
    <row r="2731" spans="1:9" ht="25.5" customHeight="1" x14ac:dyDescent="0.2">
      <c r="A2731" s="27">
        <v>2729</v>
      </c>
      <c r="B2731" s="29" t="s">
        <v>1197</v>
      </c>
      <c r="C2731" s="29" t="str">
        <f ca="1">IFERROR(__xludf.DUMMYFUNCTION("GOOGLETRANSLATE(C3811,""en"",""hr"")"),"UTIKAČ")</f>
        <v>UTIKAČ</v>
      </c>
      <c r="D2731" s="28" t="s">
        <v>11</v>
      </c>
      <c r="E2731" s="29">
        <v>1</v>
      </c>
      <c r="F2731" s="17"/>
    </row>
    <row r="2732" spans="1:9" ht="25.5" customHeight="1" x14ac:dyDescent="0.2">
      <c r="A2732" s="27">
        <v>2730</v>
      </c>
      <c r="B2732" s="29" t="s">
        <v>1180</v>
      </c>
      <c r="C2732" s="29" t="str">
        <f ca="1">IFERROR(__xludf.DUMMYFUNCTION("GOOGLETRANSLATE(C3793,""en"",""hr"")"),"Mjerač ulja")</f>
        <v>Mjerač ulja</v>
      </c>
      <c r="D2732" s="28" t="s">
        <v>11</v>
      </c>
      <c r="E2732" s="29">
        <v>1</v>
      </c>
      <c r="F2732" s="17"/>
    </row>
    <row r="2733" spans="1:9" ht="25.5" customHeight="1" x14ac:dyDescent="0.2">
      <c r="A2733" s="27">
        <v>2731</v>
      </c>
      <c r="B2733" s="29" t="s">
        <v>1194</v>
      </c>
      <c r="C2733" s="29" t="str">
        <f ca="1">IFERROR(__xludf.DUMMYFUNCTION("GOOGLETRANSLATE(C3808,""en"",""hr"")"),"UTIKAČ")</f>
        <v>UTIKAČ</v>
      </c>
      <c r="D2733" s="28" t="s">
        <v>11</v>
      </c>
      <c r="E2733" s="29">
        <v>1</v>
      </c>
      <c r="F2733" s="17"/>
      <c r="I2733" s="4" t="b">
        <f>INT(F2731*100)=(F2731*100)</f>
        <v>1</v>
      </c>
    </row>
    <row r="2734" spans="1:9" ht="25.5" customHeight="1" x14ac:dyDescent="0.2">
      <c r="A2734" s="27">
        <v>2732</v>
      </c>
      <c r="B2734" s="29" t="s">
        <v>1195</v>
      </c>
      <c r="C2734" s="29" t="str">
        <f ca="1">IFERROR(__xludf.DUMMYFUNCTION("GOOGLETRANSLATE(C3809,""en"",""hr"")"),"Utikač")</f>
        <v>Utikač</v>
      </c>
      <c r="D2734" s="28" t="s">
        <v>11</v>
      </c>
      <c r="E2734" s="29">
        <v>1</v>
      </c>
      <c r="F2734" s="17"/>
    </row>
    <row r="2735" spans="1:9" ht="25.5" customHeight="1" x14ac:dyDescent="0.2">
      <c r="A2735" s="27">
        <v>2733</v>
      </c>
      <c r="B2735" s="29" t="s">
        <v>1168</v>
      </c>
      <c r="C2735" s="29" t="str">
        <f ca="1">IFERROR(__xludf.DUMMYFUNCTION("GOOGLETRANSLATE(C3779,""en"",""hr"")"),"UTIKAČ")</f>
        <v>UTIKAČ</v>
      </c>
      <c r="D2735" s="28" t="s">
        <v>11</v>
      </c>
      <c r="E2735" s="29">
        <v>1</v>
      </c>
      <c r="F2735" s="17"/>
    </row>
    <row r="2736" spans="1:9" ht="25.5" customHeight="1" x14ac:dyDescent="0.2">
      <c r="A2736" s="27">
        <v>2734</v>
      </c>
      <c r="B2736" s="29" t="s">
        <v>1181</v>
      </c>
      <c r="C2736" s="29" t="str">
        <f ca="1">IFERROR(__xludf.DUMMYFUNCTION("GOOGLETRANSLATE(C3794,""en"",""hr"")"),"Orah")</f>
        <v>Orah</v>
      </c>
      <c r="D2736" s="28" t="s">
        <v>11</v>
      </c>
      <c r="E2736" s="29">
        <v>1</v>
      </c>
      <c r="F2736" s="17"/>
    </row>
    <row r="2737" spans="1:9" ht="25.5" customHeight="1" x14ac:dyDescent="0.2">
      <c r="A2737" s="27">
        <v>2735</v>
      </c>
      <c r="B2737" s="29" t="s">
        <v>1166</v>
      </c>
      <c r="C2737" s="29" t="str">
        <f ca="1">IFERROR(__xludf.DUMMYFUNCTION("GOOGLETRANSLATE(C3777,""en"",""hr"")"),"Utikač")</f>
        <v>Utikač</v>
      </c>
      <c r="D2737" s="28" t="s">
        <v>11</v>
      </c>
      <c r="E2737" s="29">
        <v>1</v>
      </c>
      <c r="F2737" s="17"/>
    </row>
    <row r="2738" spans="1:9" ht="25.5" customHeight="1" x14ac:dyDescent="0.2">
      <c r="A2738" s="27">
        <v>2736</v>
      </c>
      <c r="B2738" s="29" t="s">
        <v>1187</v>
      </c>
      <c r="C2738" s="29" t="str">
        <f ca="1">IFERROR(__xludf.DUMMYFUNCTION("GOOGLETRANSLATE(C3801,""en"",""hr"")"),"POKLOPAC")</f>
        <v>POKLOPAC</v>
      </c>
      <c r="D2738" s="28" t="s">
        <v>11</v>
      </c>
      <c r="E2738" s="29">
        <v>1</v>
      </c>
      <c r="F2738" s="17"/>
    </row>
    <row r="2739" spans="1:9" ht="25.5" customHeight="1" x14ac:dyDescent="0.2">
      <c r="A2739" s="27">
        <v>2737</v>
      </c>
      <c r="B2739" s="29" t="s">
        <v>1177</v>
      </c>
      <c r="C2739" s="29" t="str">
        <f ca="1">IFERROR(__xludf.DUMMYFUNCTION("GOOGLETRANSLATE(C3790,""en"",""hr"")"),"Kapica ležaja")</f>
        <v>Kapica ležaja</v>
      </c>
      <c r="D2739" s="28" t="s">
        <v>11</v>
      </c>
      <c r="E2739" s="29">
        <v>1</v>
      </c>
      <c r="F2739" s="17"/>
    </row>
    <row r="2740" spans="1:9" ht="25.5" customHeight="1" x14ac:dyDescent="0.2">
      <c r="A2740" s="27">
        <v>2738</v>
      </c>
      <c r="B2740" s="29" t="s">
        <v>1185</v>
      </c>
      <c r="C2740" s="29" t="str">
        <f ca="1">IFERROR(__xludf.DUMMYFUNCTION("GOOGLETRANSLATE(C3799,""en"",""hr"")"),"Vijak")</f>
        <v>Vijak</v>
      </c>
      <c r="D2740" s="28" t="s">
        <v>11</v>
      </c>
      <c r="E2740" s="29">
        <v>1</v>
      </c>
      <c r="F2740" s="17"/>
    </row>
    <row r="2741" spans="1:9" ht="25.5" customHeight="1" x14ac:dyDescent="0.2">
      <c r="A2741" s="27">
        <v>2739</v>
      </c>
      <c r="B2741" s="29" t="s">
        <v>1189</v>
      </c>
      <c r="C2741" s="29" t="str">
        <f ca="1">IFERROR(__xludf.DUMMYFUNCTION("GOOGLETRANSLATE(C3803,""en"",""hr"")"),"Ploča za podešavanje 0,10 mm")</f>
        <v>Ploča za podešavanje 0,10 mm</v>
      </c>
      <c r="D2741" s="28" t="s">
        <v>11</v>
      </c>
      <c r="E2741" s="29">
        <v>1</v>
      </c>
      <c r="F2741" s="17"/>
    </row>
    <row r="2742" spans="1:9" ht="25.5" customHeight="1" x14ac:dyDescent="0.2">
      <c r="A2742" s="27">
        <v>2740</v>
      </c>
      <c r="B2742" s="29" t="s">
        <v>1190</v>
      </c>
      <c r="C2742" s="29" t="str">
        <f ca="1">IFERROR(__xludf.DUMMYFUNCTION("GOOGLETRANSLATE(C3804,""en"",""hr"")"),"PERILICA")</f>
        <v>PERILICA</v>
      </c>
      <c r="D2742" s="28" t="s">
        <v>11</v>
      </c>
      <c r="E2742" s="29">
        <v>1</v>
      </c>
      <c r="F2742" s="17"/>
    </row>
    <row r="2743" spans="1:9" ht="25.5" customHeight="1" x14ac:dyDescent="0.2">
      <c r="A2743" s="27">
        <v>2741</v>
      </c>
      <c r="B2743" s="29" t="s">
        <v>1186</v>
      </c>
      <c r="C2743" s="29" t="str">
        <f ca="1">IFERROR(__xludf.DUMMYFUNCTION("GOOGLETRANSLATE(C3800,""en"",""hr"")"),"Klipnjača")</f>
        <v>Klipnjača</v>
      </c>
      <c r="D2743" s="28" t="s">
        <v>11</v>
      </c>
      <c r="E2743" s="29">
        <v>1</v>
      </c>
      <c r="F2743" s="17"/>
    </row>
    <row r="2744" spans="1:9" ht="25.5" customHeight="1" x14ac:dyDescent="0.2">
      <c r="A2744" s="27">
        <v>2742</v>
      </c>
      <c r="B2744" s="29" t="s">
        <v>1184</v>
      </c>
      <c r="C2744" s="29" t="str">
        <f ca="1">IFERROR(__xludf.DUMMYFUNCTION("GOOGLETRANSLATE(C3798,""en"",""hr"")"),"Klip")</f>
        <v>Klip</v>
      </c>
      <c r="D2744" s="28" t="s">
        <v>11</v>
      </c>
      <c r="E2744" s="29">
        <v>1</v>
      </c>
      <c r="F2744" s="17"/>
    </row>
    <row r="2745" spans="1:9" ht="25.5" customHeight="1" x14ac:dyDescent="0.2">
      <c r="A2745" s="27">
        <v>2743</v>
      </c>
      <c r="B2745" s="29" t="s">
        <v>1182</v>
      </c>
      <c r="C2745" s="29" t="str">
        <f ca="1">IFERROR(__xludf.DUMMYFUNCTION("GOOGLETRANSLATE(C3796,""en"",""hr"")"),"Perilica")</f>
        <v>Perilica</v>
      </c>
      <c r="D2745" s="28" t="s">
        <v>11</v>
      </c>
      <c r="E2745" s="29">
        <v>1</v>
      </c>
      <c r="F2745" s="17"/>
    </row>
    <row r="2746" spans="1:9" ht="25.5" customHeight="1" x14ac:dyDescent="0.2">
      <c r="A2746" s="27">
        <v>2744</v>
      </c>
      <c r="B2746" s="29" t="s">
        <v>38</v>
      </c>
      <c r="C2746" s="29" t="str">
        <f ca="1">IFERROR(__xludf.DUMMYFUNCTION("GOOGLETRANSLATE(C54,""en"",""hr"")"),"Filter za vodu")</f>
        <v>Filter za vodu</v>
      </c>
      <c r="D2746" s="28" t="s">
        <v>11</v>
      </c>
      <c r="E2746" s="29">
        <v>1</v>
      </c>
      <c r="F2746" s="17"/>
    </row>
    <row r="2747" spans="1:9" ht="25.5" customHeight="1" x14ac:dyDescent="0.2">
      <c r="A2747" s="27">
        <v>2745</v>
      </c>
      <c r="B2747" s="29" t="s">
        <v>1286</v>
      </c>
      <c r="C2747" s="29" t="str">
        <f ca="1">IFERROR(__xludf.DUMMYFUNCTION("GOOGLETRANSLATE(C4019,""en"",""hr"")"),"O-prsten")</f>
        <v>O-prsten</v>
      </c>
      <c r="D2747" s="28" t="s">
        <v>11</v>
      </c>
      <c r="E2747" s="29">
        <v>1</v>
      </c>
      <c r="F2747" s="17"/>
    </row>
    <row r="2748" spans="1:9" ht="25.5" customHeight="1" x14ac:dyDescent="0.2">
      <c r="A2748" s="27">
        <v>2746</v>
      </c>
      <c r="B2748" s="29" t="s">
        <v>1299</v>
      </c>
      <c r="C2748" s="29" t="str">
        <f ca="1">IFERROR(__xludf.DUMMYFUNCTION("GOOGLETRANSLATE(C4038,""en"",""hr"")"),"Zagrada")</f>
        <v>Zagrada</v>
      </c>
      <c r="D2748" s="28" t="s">
        <v>11</v>
      </c>
      <c r="E2748" s="29">
        <v>1</v>
      </c>
      <c r="F2748" s="17"/>
    </row>
    <row r="2749" spans="1:9" ht="25.5" customHeight="1" x14ac:dyDescent="0.2">
      <c r="A2749" s="27">
        <v>2747</v>
      </c>
      <c r="B2749" s="29" t="s">
        <v>1278</v>
      </c>
      <c r="C2749" s="29" t="str">
        <f ca="1">IFERROR(__xludf.DUMMYFUNCTION("GOOGLETRANSLATE(C4011,""en"",""hr"")"),"Dijafragma")</f>
        <v>Dijafragma</v>
      </c>
      <c r="D2749" s="28" t="s">
        <v>11</v>
      </c>
      <c r="E2749" s="29">
        <v>1</v>
      </c>
      <c r="F2749" s="17"/>
    </row>
    <row r="2750" spans="1:9" ht="25.5" customHeight="1" x14ac:dyDescent="0.2">
      <c r="A2750" s="27">
        <v>2748</v>
      </c>
      <c r="B2750" s="29" t="s">
        <v>1293</v>
      </c>
      <c r="C2750" s="29" t="str">
        <f ca="1">IFERROR(__xludf.DUMMYFUNCTION("GOOGLETRANSLATE(C4028,""en"",""hr"")"),"Pregača dijafragme")</f>
        <v>Pregača dijafragme</v>
      </c>
      <c r="D2750" s="28" t="s">
        <v>11</v>
      </c>
      <c r="E2750" s="29">
        <v>1</v>
      </c>
      <c r="F2750" s="17"/>
    </row>
    <row r="2751" spans="1:9" ht="25.5" customHeight="1" x14ac:dyDescent="0.2">
      <c r="A2751" s="27">
        <v>2749</v>
      </c>
      <c r="B2751" s="29" t="s">
        <v>1294</v>
      </c>
      <c r="C2751" s="29" t="str">
        <f ca="1">IFERROR(__xludf.DUMMYFUNCTION("GOOGLETRANSLATE(C4029,""en"",""hr"")"),"Dijafragma")</f>
        <v>Dijafragma</v>
      </c>
      <c r="D2751" s="28" t="s">
        <v>11</v>
      </c>
      <c r="E2751" s="29">
        <v>1</v>
      </c>
      <c r="F2751" s="17"/>
    </row>
    <row r="2752" spans="1:9" ht="25.5" customHeight="1" x14ac:dyDescent="0.2">
      <c r="A2752" s="27">
        <v>2750</v>
      </c>
      <c r="B2752" s="29" t="s">
        <v>1295</v>
      </c>
      <c r="C2752" s="29" t="str">
        <f ca="1">IFERROR(__xludf.DUMMYFUNCTION("GOOGLETRANSLATE(C4030,""en"",""hr"")"),"Poklopac")</f>
        <v>Poklopac</v>
      </c>
      <c r="D2752" s="28" t="s">
        <v>11</v>
      </c>
      <c r="E2752" s="29">
        <v>1</v>
      </c>
      <c r="F2752" s="17"/>
      <c r="I2752" s="4" t="b">
        <f>INT(F2750*100)=(F2750*100)</f>
        <v>1</v>
      </c>
    </row>
    <row r="2753" spans="1:9" ht="25.5" customHeight="1" x14ac:dyDescent="0.2">
      <c r="A2753" s="27">
        <v>2751</v>
      </c>
      <c r="B2753" s="29" t="s">
        <v>1296</v>
      </c>
      <c r="C2753" s="29" t="str">
        <f ca="1">IFERROR(__xludf.DUMMYFUNCTION("GOOGLETRANSLATE(C4031,""en"",""hr"")"),"Ventil za zrak")</f>
        <v>Ventil za zrak</v>
      </c>
      <c r="D2753" s="28" t="s">
        <v>11</v>
      </c>
      <c r="E2753" s="29">
        <v>1</v>
      </c>
      <c r="F2753" s="17"/>
    </row>
    <row r="2754" spans="1:9" ht="25.5" customHeight="1" x14ac:dyDescent="0.2">
      <c r="A2754" s="27">
        <v>2752</v>
      </c>
      <c r="B2754" s="29" t="s">
        <v>1297</v>
      </c>
      <c r="C2754" s="29" t="str">
        <f ca="1">IFERROR(__xludf.DUMMYFUNCTION("GOOGLETRANSLATE(C4032,""en"",""hr"")"),"brtva")</f>
        <v>brtva</v>
      </c>
      <c r="D2754" s="28" t="s">
        <v>11</v>
      </c>
      <c r="E2754" s="29">
        <v>1</v>
      </c>
      <c r="F2754" s="17"/>
    </row>
    <row r="2755" spans="1:9" ht="25.5" customHeight="1" x14ac:dyDescent="0.2">
      <c r="A2755" s="27">
        <v>2753</v>
      </c>
      <c r="B2755" s="29" t="s">
        <v>1292</v>
      </c>
      <c r="C2755" s="29" t="str">
        <f ca="1">IFERROR(__xludf.DUMMYFUNCTION("GOOGLETRANSLATE(C4027,""en"",""hr"")"),"Stezni okvir")</f>
        <v>Stezni okvir</v>
      </c>
      <c r="D2755" s="28" t="s">
        <v>11</v>
      </c>
      <c r="E2755" s="29">
        <v>1</v>
      </c>
      <c r="F2755" s="17"/>
      <c r="I2755" s="4" t="b">
        <f>INT(F2753*100)=(F2753*100)</f>
        <v>1</v>
      </c>
    </row>
    <row r="2756" spans="1:9" ht="25.5" customHeight="1" x14ac:dyDescent="0.2">
      <c r="A2756" s="27">
        <v>2754</v>
      </c>
      <c r="B2756" s="29" t="s">
        <v>1291</v>
      </c>
      <c r="C2756" s="29" t="str">
        <f ca="1">IFERROR(__xludf.DUMMYFUNCTION("GOOGLETRANSLATE(C4025,""en"",""hr"")"),"Zagrada")</f>
        <v>Zagrada</v>
      </c>
      <c r="D2756" s="28" t="s">
        <v>11</v>
      </c>
      <c r="E2756" s="29">
        <v>1</v>
      </c>
      <c r="F2756" s="17"/>
    </row>
    <row r="2757" spans="1:9" ht="25.5" customHeight="1" x14ac:dyDescent="0.2">
      <c r="A2757" s="27">
        <v>2755</v>
      </c>
      <c r="B2757" s="29" t="s">
        <v>1289</v>
      </c>
      <c r="C2757" s="29" t="str">
        <f ca="1">IFERROR(__xludf.DUMMYFUNCTION("GOOGLETRANSLATE(C4022,""en"",""hr"")"),"Glava pumpe")</f>
        <v>Glava pumpe</v>
      </c>
      <c r="D2757" s="28" t="s">
        <v>11</v>
      </c>
      <c r="E2757" s="29">
        <v>1</v>
      </c>
      <c r="F2757" s="17"/>
    </row>
    <row r="2758" spans="1:9" ht="25.5" customHeight="1" x14ac:dyDescent="0.2">
      <c r="A2758" s="27">
        <v>2756</v>
      </c>
      <c r="B2758" s="29" t="s">
        <v>1274</v>
      </c>
      <c r="C2758" s="29" t="str">
        <f ca="1">IFERROR(__xludf.DUMMYFUNCTION("GOOGLETRANSLATE(C4007,""en"",""hr"")"),"Vidno staklo")</f>
        <v>Vidno staklo</v>
      </c>
      <c r="D2758" s="28" t="s">
        <v>11</v>
      </c>
      <c r="E2758" s="29">
        <v>1</v>
      </c>
      <c r="F2758" s="17"/>
    </row>
    <row r="2759" spans="1:9" ht="25.5" customHeight="1" x14ac:dyDescent="0.2">
      <c r="A2759" s="27">
        <v>2757</v>
      </c>
      <c r="B2759" s="29" t="s">
        <v>1277</v>
      </c>
      <c r="C2759" s="29" t="str">
        <f ca="1">IFERROR(__xludf.DUMMYFUNCTION("GOOGLETRANSLATE(C4010,""en"",""hr"")"),"O-prsten")</f>
        <v>O-prsten</v>
      </c>
      <c r="D2759" s="28" t="s">
        <v>11</v>
      </c>
      <c r="E2759" s="29">
        <v>1</v>
      </c>
      <c r="F2759" s="17"/>
      <c r="I2759" s="4" t="b">
        <f>INT(F2757*100)=(F2757*100)</f>
        <v>1</v>
      </c>
    </row>
    <row r="2760" spans="1:9" ht="25.5" customHeight="1" x14ac:dyDescent="0.2">
      <c r="A2760" s="27">
        <v>2758</v>
      </c>
      <c r="B2760" s="29" t="s">
        <v>1272</v>
      </c>
      <c r="C2760" s="29" t="str">
        <f ca="1">IFERROR(__xludf.DUMMYFUNCTION("GOOGLETRANSLATE(C4005,""en"",""hr"")"),"Poklopac")</f>
        <v>Poklopac</v>
      </c>
      <c r="D2760" s="28" t="s">
        <v>11</v>
      </c>
      <c r="E2760" s="29">
        <v>1</v>
      </c>
      <c r="F2760" s="17"/>
    </row>
    <row r="2761" spans="1:9" ht="25.5" customHeight="1" x14ac:dyDescent="0.2">
      <c r="A2761" s="27">
        <v>2759</v>
      </c>
      <c r="B2761" s="29" t="s">
        <v>1281</v>
      </c>
      <c r="C2761" s="29" t="str">
        <f ca="1">IFERROR(__xludf.DUMMYFUNCTION("GOOGLETRANSLATE(C4014,""en"",""hr"")"),"Cijev")</f>
        <v>Cijev</v>
      </c>
      <c r="D2761" s="28" t="s">
        <v>11</v>
      </c>
      <c r="E2761" s="29">
        <v>1</v>
      </c>
      <c r="F2761" s="17"/>
    </row>
    <row r="2762" spans="1:9" ht="25.5" customHeight="1" x14ac:dyDescent="0.2">
      <c r="A2762" s="27">
        <v>2760</v>
      </c>
      <c r="B2762" s="29" t="s">
        <v>1279</v>
      </c>
      <c r="C2762" s="29" t="str">
        <f ca="1">IFERROR(__xludf.DUMMYFUNCTION("GOOGLETRANSLATE(C4012,""en"",""hr"")"),"Usisna cijev")</f>
        <v>Usisna cijev</v>
      </c>
      <c r="D2762" s="28" t="s">
        <v>11</v>
      </c>
      <c r="E2762" s="29">
        <v>1</v>
      </c>
      <c r="F2762" s="17"/>
    </row>
    <row r="2763" spans="1:9" ht="25.5" customHeight="1" x14ac:dyDescent="0.2">
      <c r="A2763" s="27">
        <v>2761</v>
      </c>
      <c r="B2763" s="29" t="s">
        <v>1283</v>
      </c>
      <c r="C2763" s="29" t="str">
        <f ca="1">IFERROR(__xludf.DUMMYFUNCTION("GOOGLETRANSLATE(C4016,""en"",""hr"")"),"Okretna matica")</f>
        <v>Okretna matica</v>
      </c>
      <c r="D2763" s="28" t="s">
        <v>11</v>
      </c>
      <c r="E2763" s="29">
        <v>1</v>
      </c>
      <c r="F2763" s="17"/>
    </row>
    <row r="2764" spans="1:9" ht="25.5" customHeight="1" x14ac:dyDescent="0.2">
      <c r="A2764" s="27">
        <v>2762</v>
      </c>
      <c r="B2764" s="29" t="s">
        <v>1284</v>
      </c>
      <c r="C2764" s="29" t="str">
        <f ca="1">IFERROR(__xludf.DUMMYFUNCTION("GOOGLETRANSLATE(C4017,""en"",""hr"")"),"Lakat")</f>
        <v>Lakat</v>
      </c>
      <c r="D2764" s="28" t="s">
        <v>11</v>
      </c>
      <c r="E2764" s="29">
        <v>1</v>
      </c>
      <c r="F2764" s="17"/>
    </row>
    <row r="2765" spans="1:9" ht="25.5" customHeight="1" x14ac:dyDescent="0.2">
      <c r="A2765" s="27">
        <v>2763</v>
      </c>
      <c r="B2765" s="29" t="s">
        <v>1287</v>
      </c>
      <c r="C2765" s="29" t="str">
        <f ca="1">IFERROR(__xludf.DUMMYFUNCTION("GOOGLETRANSLATE(C4020,""en"",""hr"")"),"O-prsten")</f>
        <v>O-prsten</v>
      </c>
      <c r="D2765" s="28" t="s">
        <v>11</v>
      </c>
      <c r="E2765" s="29">
        <v>1</v>
      </c>
      <c r="F2765" s="17"/>
    </row>
    <row r="2766" spans="1:9" ht="25.5" customHeight="1" x14ac:dyDescent="0.2">
      <c r="A2766" s="27">
        <v>2764</v>
      </c>
      <c r="B2766" s="29" t="s">
        <v>1248</v>
      </c>
      <c r="C2766" s="29" t="str">
        <f ca="1">IFERROR(__xludf.DUMMYFUNCTION("GOOGLETRANSLATE(C3954,""en"",""hr"")"),"Filter zaslon")</f>
        <v>Filter zaslon</v>
      </c>
      <c r="D2766" s="28" t="s">
        <v>11</v>
      </c>
      <c r="E2766" s="29">
        <v>1</v>
      </c>
      <c r="F2766" s="17"/>
    </row>
    <row r="2767" spans="1:9" ht="25.5" customHeight="1" x14ac:dyDescent="0.2">
      <c r="A2767" s="27">
        <v>2765</v>
      </c>
      <c r="B2767" s="29" t="s">
        <v>1769</v>
      </c>
      <c r="C2767" s="29" t="str">
        <f ca="1">IFERROR(__xludf.DUMMYFUNCTION("GOOGLETRANSLATE(C6138,""en"",""hr"")"),"Nazubljena matica")</f>
        <v>Nazubljena matica</v>
      </c>
      <c r="D2767" s="28" t="s">
        <v>11</v>
      </c>
      <c r="E2767" s="29">
        <v>1</v>
      </c>
      <c r="F2767" s="17"/>
    </row>
    <row r="2768" spans="1:9" ht="25.5" customHeight="1" x14ac:dyDescent="0.2">
      <c r="A2768" s="27">
        <v>2766</v>
      </c>
      <c r="B2768" s="29" t="s">
        <v>623</v>
      </c>
      <c r="C2768" s="29" t="str">
        <f ca="1">IFERROR(__xludf.DUMMYFUNCTION("GOOGLETRANSLATE(C1932,""en"",""hr"")"),"brtva")</f>
        <v>brtva</v>
      </c>
      <c r="D2768" s="28" t="s">
        <v>11</v>
      </c>
      <c r="E2768" s="29">
        <v>1</v>
      </c>
      <c r="F2768" s="17"/>
    </row>
    <row r="2769" spans="1:9" ht="25.5" customHeight="1" x14ac:dyDescent="0.2">
      <c r="A2769" s="27">
        <v>2767</v>
      </c>
      <c r="B2769" s="29" t="s">
        <v>1191</v>
      </c>
      <c r="C2769" s="29" t="str">
        <f ca="1">IFERROR(__xludf.DUMMYFUNCTION("GOOGLETRANSLATE(C3805,""en"",""hr"")"),"Podloška 0,25 mm")</f>
        <v>Podloška 0,25 mm</v>
      </c>
      <c r="D2769" s="28" t="s">
        <v>11</v>
      </c>
      <c r="E2769" s="29">
        <v>1</v>
      </c>
      <c r="F2769" s="17"/>
    </row>
    <row r="2770" spans="1:9" ht="25.5" customHeight="1" x14ac:dyDescent="0.2">
      <c r="A2770" s="27">
        <v>2768</v>
      </c>
      <c r="B2770" s="29" t="s">
        <v>1192</v>
      </c>
      <c r="C2770" s="29" t="str">
        <f ca="1">IFERROR(__xludf.DUMMYFUNCTION("GOOGLETRANSLATE(C3806,""en"",""hr"")"),"Podloška 0,05 mm")</f>
        <v>Podloška 0,05 mm</v>
      </c>
      <c r="D2770" s="28" t="s">
        <v>11</v>
      </c>
      <c r="E2770" s="29">
        <v>1</v>
      </c>
      <c r="F2770" s="17"/>
    </row>
    <row r="2771" spans="1:9" ht="25.5" customHeight="1" x14ac:dyDescent="0.2">
      <c r="A2771" s="27">
        <v>2769</v>
      </c>
      <c r="B2771" s="29" t="s">
        <v>1298</v>
      </c>
      <c r="C2771" s="29" t="str">
        <f ca="1">IFERROR(__xludf.DUMMYFUNCTION("GOOGLETRANSLATE(C4035,""en"",""hr"")"),"Set za popravak")</f>
        <v>Set za popravak</v>
      </c>
      <c r="D2771" s="28" t="s">
        <v>11</v>
      </c>
      <c r="E2771" s="29">
        <v>1</v>
      </c>
      <c r="F2771" s="17"/>
    </row>
    <row r="2772" spans="1:9" ht="25.5" customHeight="1" x14ac:dyDescent="0.2">
      <c r="A2772" s="27">
        <v>2770</v>
      </c>
      <c r="B2772" s="29" t="s">
        <v>1170</v>
      </c>
      <c r="C2772" s="29" t="str">
        <f ca="1">IFERROR(__xludf.DUMMYFUNCTION("GOOGLETRANSLATE(C3781,""en"",""hr"")"),"Hidraulička pumpa")</f>
        <v>Hidraulička pumpa</v>
      </c>
      <c r="D2772" s="28" t="s">
        <v>11</v>
      </c>
      <c r="E2772" s="29">
        <v>1</v>
      </c>
      <c r="F2772" s="17"/>
    </row>
    <row r="2773" spans="1:9" ht="25.5" customHeight="1" x14ac:dyDescent="0.2">
      <c r="A2773" s="27">
        <v>2771</v>
      </c>
      <c r="B2773" s="29" t="s">
        <v>1171</v>
      </c>
      <c r="C2773" s="29" t="str">
        <f ca="1">IFERROR(__xludf.DUMMYFUNCTION("GOOGLETRANSLATE(C3782,""en"",""hr"")"),"Hidraulički motor")</f>
        <v>Hidraulički motor</v>
      </c>
      <c r="D2773" s="28" t="s">
        <v>11</v>
      </c>
      <c r="E2773" s="29">
        <v>1</v>
      </c>
      <c r="F2773" s="17"/>
    </row>
    <row r="2774" spans="1:9" ht="25.5" customHeight="1" x14ac:dyDescent="0.2">
      <c r="A2774" s="27">
        <v>2772</v>
      </c>
      <c r="B2774" s="29" t="s">
        <v>1199</v>
      </c>
      <c r="C2774" s="29" t="str">
        <f ca="1">IFERROR(__xludf.DUMMYFUNCTION("GOOGLETRANSLATE(C3814,""en"",""hr"")"),"Ekscentrično vratilo")</f>
        <v>Ekscentrično vratilo</v>
      </c>
      <c r="D2774" s="28" t="s">
        <v>11</v>
      </c>
      <c r="E2774" s="29">
        <v>1</v>
      </c>
      <c r="F2774" s="17"/>
    </row>
    <row r="2775" spans="1:9" ht="25.5" customHeight="1" x14ac:dyDescent="0.2">
      <c r="A2775" s="27">
        <v>2773</v>
      </c>
      <c r="B2775" s="29" t="s">
        <v>1200</v>
      </c>
      <c r="C2775" s="29" t="str">
        <f ca="1">IFERROR(__xludf.DUMMYFUNCTION("GOOGLETRANSLATE(C3815,""en"",""hr"")"),"Montažna prirubnica")</f>
        <v>Montažna prirubnica</v>
      </c>
      <c r="D2775" s="28" t="s">
        <v>11</v>
      </c>
      <c r="E2775" s="29">
        <v>1</v>
      </c>
      <c r="F2775" s="17"/>
    </row>
    <row r="2776" spans="1:9" ht="25.5" customHeight="1" x14ac:dyDescent="0.2">
      <c r="A2776" s="27">
        <v>2774</v>
      </c>
      <c r="B2776" s="29" t="s">
        <v>1203</v>
      </c>
      <c r="C2776" s="29" t="str">
        <f ca="1">IFERROR(__xludf.DUMMYFUNCTION("GOOGLETRANSLATE(C3818,""en"",""hr"")"),"Set brtvila")</f>
        <v>Set brtvila</v>
      </c>
      <c r="D2776" s="28" t="s">
        <v>11</v>
      </c>
      <c r="E2776" s="29">
        <v>1</v>
      </c>
      <c r="F2776" s="17"/>
    </row>
    <row r="2777" spans="1:9" ht="25.5" customHeight="1" x14ac:dyDescent="0.2">
      <c r="A2777" s="27">
        <v>2775</v>
      </c>
      <c r="B2777" s="29" t="s">
        <v>1173</v>
      </c>
      <c r="C2777" s="29" t="str">
        <f ca="1">IFERROR(__xludf.DUMMYFUNCTION("GOOGLETRANSLATE(C3784,""en"",""hr"")"),"Set brtvila")</f>
        <v>Set brtvila</v>
      </c>
      <c r="D2777" s="28" t="s">
        <v>11</v>
      </c>
      <c r="E2777" s="29">
        <v>1</v>
      </c>
      <c r="F2777" s="17"/>
      <c r="I2777" s="4" t="b">
        <f>INT(F2775*100)=(F2775*100)</f>
        <v>1</v>
      </c>
    </row>
    <row r="2778" spans="1:9" ht="25.5" customHeight="1" x14ac:dyDescent="0.2">
      <c r="A2778" s="27">
        <v>2776</v>
      </c>
      <c r="B2778" s="29" t="s">
        <v>1172</v>
      </c>
      <c r="C2778" s="29" t="str">
        <f ca="1">IFERROR(__xludf.DUMMYFUNCTION("GOOGLETRANSLATE(C3783,""en"",""hr"")"),"Klin")</f>
        <v>Klin</v>
      </c>
      <c r="D2778" s="28" t="s">
        <v>11</v>
      </c>
      <c r="E2778" s="29">
        <v>1</v>
      </c>
      <c r="F2778" s="17"/>
    </row>
    <row r="2779" spans="1:9" ht="25.5" customHeight="1" x14ac:dyDescent="0.2">
      <c r="A2779" s="27">
        <v>2777</v>
      </c>
      <c r="B2779" s="29" t="s">
        <v>663</v>
      </c>
      <c r="C2779" s="29" t="str">
        <f ca="1">IFERROR(__xludf.DUMMYFUNCTION("GOOGLETRANSLATE(C2088,""en"",""hr"")"),"Set brtvila")</f>
        <v>Set brtvila</v>
      </c>
      <c r="D2779" s="28" t="s">
        <v>11</v>
      </c>
      <c r="E2779" s="29">
        <v>1</v>
      </c>
      <c r="F2779" s="17"/>
    </row>
    <row r="2780" spans="1:9" ht="25.5" customHeight="1" x14ac:dyDescent="0.2">
      <c r="A2780" s="27">
        <v>2778</v>
      </c>
      <c r="B2780" s="29" t="s">
        <v>1120</v>
      </c>
      <c r="C2780" s="29" t="str">
        <f ca="1">IFERROR(__xludf.DUMMYFUNCTION("GOOGLETRANSLATE(C3655,""en"",""hr"")"),"Pritisak, prekidač")</f>
        <v>Pritisak, prekidač</v>
      </c>
      <c r="D2780" s="28" t="s">
        <v>11</v>
      </c>
      <c r="E2780" s="29">
        <v>1</v>
      </c>
      <c r="F2780" s="17"/>
      <c r="I2780" s="4" t="b">
        <f>INT(F2778*100)=(F2778*100)</f>
        <v>1</v>
      </c>
    </row>
    <row r="2781" spans="1:9" ht="25.5" customHeight="1" x14ac:dyDescent="0.2">
      <c r="A2781" s="27">
        <v>2779</v>
      </c>
      <c r="B2781" s="29" t="s">
        <v>1119</v>
      </c>
      <c r="C2781" s="29" t="str">
        <f ca="1">IFERROR(__xludf.DUMMYFUNCTION("GOOGLETRANSLATE(C3654,""en"",""hr"")"),"Glava pumpe")</f>
        <v>Glava pumpe</v>
      </c>
      <c r="D2781" s="28" t="s">
        <v>11</v>
      </c>
      <c r="E2781" s="29">
        <v>1</v>
      </c>
      <c r="F2781" s="17"/>
    </row>
    <row r="2782" spans="1:9" ht="25.5" customHeight="1" x14ac:dyDescent="0.2">
      <c r="A2782" s="27">
        <v>2780</v>
      </c>
      <c r="B2782" s="29" t="s">
        <v>73</v>
      </c>
      <c r="C2782" s="29" t="str">
        <f ca="1">IFERROR(__xludf.DUMMYFUNCTION("GOOGLETRANSLATE(C180,""en"",""hr"")"),"Sigurnosni filter")</f>
        <v>Sigurnosni filter</v>
      </c>
      <c r="D2782" s="28" t="s">
        <v>11</v>
      </c>
      <c r="E2782" s="29">
        <v>1</v>
      </c>
      <c r="F2782" s="17"/>
    </row>
    <row r="2783" spans="1:9" ht="25.5" customHeight="1" x14ac:dyDescent="0.2">
      <c r="A2783" s="27">
        <v>2781</v>
      </c>
      <c r="B2783" s="29" t="s">
        <v>74</v>
      </c>
      <c r="C2783" s="29" t="str">
        <f ca="1">IFERROR(__xludf.DUMMYFUNCTION("GOOGLETRANSLATE(C181,""en"",""hr"")"),"Element filtera")</f>
        <v>Element filtera</v>
      </c>
      <c r="D2783" s="28" t="s">
        <v>11</v>
      </c>
      <c r="E2783" s="29">
        <v>1</v>
      </c>
      <c r="F2783" s="17"/>
    </row>
    <row r="2784" spans="1:9" ht="25.5" customHeight="1" x14ac:dyDescent="0.2">
      <c r="A2784" s="27">
        <v>2782</v>
      </c>
      <c r="B2784" s="29" t="s">
        <v>75</v>
      </c>
      <c r="C2784" s="29" t="str">
        <f ca="1">IFERROR(__xludf.DUMMYFUNCTION("GOOGLETRANSLATE(C182,""en"",""hr"")"),"Kuka za zaključavanje")</f>
        <v>Kuka za zaključavanje</v>
      </c>
      <c r="D2784" s="28" t="s">
        <v>11</v>
      </c>
      <c r="E2784" s="29">
        <v>1</v>
      </c>
      <c r="F2784" s="17"/>
      <c r="I2784" s="4" t="b">
        <f>INT(F2782*100)=(F2782*100)</f>
        <v>1</v>
      </c>
    </row>
    <row r="2785" spans="1:9" ht="25.5" customHeight="1" x14ac:dyDescent="0.2">
      <c r="A2785" s="27">
        <v>2783</v>
      </c>
      <c r="B2785" s="29" t="s">
        <v>124</v>
      </c>
      <c r="C2785" s="29" t="str">
        <f ca="1">IFERROR(__xludf.DUMMYFUNCTION("GOOGLETRANSLATE(C254,""en"",""hr"")"),"Filter motornog ulja")</f>
        <v>Filter motornog ulja</v>
      </c>
      <c r="D2785" s="28" t="s">
        <v>11</v>
      </c>
      <c r="E2785" s="29">
        <v>1</v>
      </c>
      <c r="F2785" s="17"/>
    </row>
    <row r="2786" spans="1:9" ht="25.5" customHeight="1" x14ac:dyDescent="0.2">
      <c r="A2786" s="27">
        <v>2784</v>
      </c>
      <c r="B2786" s="29" t="s">
        <v>126</v>
      </c>
      <c r="C2786" s="29" t="str">
        <f ca="1">IFERROR(__xludf.DUMMYFUNCTION("GOOGLETRANSLATE(C256,""en"",""hr"")"),"Filter goriva")</f>
        <v>Filter goriva</v>
      </c>
      <c r="D2786" s="28" t="s">
        <v>11</v>
      </c>
      <c r="E2786" s="29">
        <v>1</v>
      </c>
      <c r="F2786" s="17"/>
    </row>
    <row r="2787" spans="1:9" ht="25.5" customHeight="1" x14ac:dyDescent="0.2">
      <c r="A2787" s="27">
        <v>2785</v>
      </c>
      <c r="B2787" s="29" t="s">
        <v>1483</v>
      </c>
      <c r="C2787" s="29" t="str">
        <f ca="1">IFERROR(__xludf.DUMMYFUNCTION("GOOGLETRANSLATE(C4971,""en"",""hr"")"),"Kukica za kaput")</f>
        <v>Kukica za kaput</v>
      </c>
      <c r="D2787" s="28" t="s">
        <v>11</v>
      </c>
      <c r="E2787" s="29">
        <v>1</v>
      </c>
      <c r="F2787" s="17"/>
    </row>
    <row r="2788" spans="1:9" ht="25.5" customHeight="1" x14ac:dyDescent="0.2">
      <c r="A2788" s="27">
        <v>2786</v>
      </c>
      <c r="B2788" s="29" t="s">
        <v>1288</v>
      </c>
      <c r="C2788" s="29" t="str">
        <f ca="1">IFERROR(__xludf.DUMMYFUNCTION("GOOGLETRANSLATE(C4021,""en"",""hr"")"),"Usisni / tlačni ventil")</f>
        <v>Usisni / tlačni ventil</v>
      </c>
      <c r="D2788" s="28" t="s">
        <v>11</v>
      </c>
      <c r="E2788" s="29">
        <v>1</v>
      </c>
      <c r="F2788" s="17"/>
    </row>
    <row r="2789" spans="1:9" ht="25.5" customHeight="1" x14ac:dyDescent="0.2">
      <c r="A2789" s="27">
        <v>2787</v>
      </c>
      <c r="B2789" s="29" t="s">
        <v>244</v>
      </c>
      <c r="C2789" s="29" t="str">
        <f ca="1">IFERROR(__xludf.DUMMYFUNCTION("GOOGLETRANSLATE(C512,""en"",""hr"")"),"Kućište, kočnica")</f>
        <v>Kućište, kočnica</v>
      </c>
      <c r="D2789" s="28" t="s">
        <v>11</v>
      </c>
      <c r="E2789" s="29">
        <v>1</v>
      </c>
      <c r="F2789" s="17"/>
    </row>
    <row r="2790" spans="1:9" ht="25.5" customHeight="1" x14ac:dyDescent="0.2">
      <c r="A2790" s="27">
        <v>2788</v>
      </c>
      <c r="B2790" s="29" t="s">
        <v>120</v>
      </c>
      <c r="C2790" s="29" t="str">
        <f ca="1">IFERROR(__xludf.DUMMYFUNCTION("GOOGLETRANSLATE(C250,""en"",""hr"")"),"Paket AdBlue filtera")</f>
        <v>Paket AdBlue filtera</v>
      </c>
      <c r="D2790" s="28" t="s">
        <v>11</v>
      </c>
      <c r="E2790" s="29">
        <v>1</v>
      </c>
      <c r="F2790" s="17"/>
    </row>
    <row r="2791" spans="1:9" ht="25.5" customHeight="1" x14ac:dyDescent="0.2">
      <c r="A2791" s="27">
        <v>2789</v>
      </c>
      <c r="B2791" s="29" t="s">
        <v>504</v>
      </c>
      <c r="C2791" s="29" t="str">
        <f ca="1">IFERROR(__xludf.DUMMYFUNCTION("GOOGLETRANSLATE(C1250,""en"",""hr"")"),"mijehovi")</f>
        <v>mijehovi</v>
      </c>
      <c r="D2791" s="28" t="s">
        <v>11</v>
      </c>
      <c r="E2791" s="29">
        <v>1</v>
      </c>
      <c r="F2791" s="17"/>
    </row>
    <row r="2792" spans="1:9" ht="25.5" customHeight="1" x14ac:dyDescent="0.2">
      <c r="A2792" s="27">
        <v>2790</v>
      </c>
      <c r="B2792" s="29" t="s">
        <v>121</v>
      </c>
      <c r="C2792" s="29" t="str">
        <f ca="1">IFERROR(__xludf.DUMMYFUNCTION("GOOGLETRANSLATE(C251,""en"",""hr"")"),"Poklopac filtera")</f>
        <v>Poklopac filtera</v>
      </c>
      <c r="D2792" s="28" t="s">
        <v>11</v>
      </c>
      <c r="E2792" s="29">
        <v>1</v>
      </c>
      <c r="F2792" s="17"/>
      <c r="I2792" s="4" t="b">
        <f>INT(F2790*100)=(F2790*100)</f>
        <v>1</v>
      </c>
    </row>
    <row r="2793" spans="1:9" ht="25.5" customHeight="1" x14ac:dyDescent="0.2">
      <c r="A2793" s="27">
        <v>2791</v>
      </c>
      <c r="B2793" s="29" t="s">
        <v>41</v>
      </c>
      <c r="C2793" s="29" t="str">
        <f ca="1">IFERROR(__xludf.DUMMYFUNCTION("GOOGLETRANSLATE(C57,""en"",""hr"")"),"Servisni kit HD vodena pumpa 1000h")</f>
        <v>Servisni kit HD vodena pumpa 1000h</v>
      </c>
      <c r="D2793" s="28" t="s">
        <v>11</v>
      </c>
      <c r="E2793" s="29">
        <v>1</v>
      </c>
      <c r="F2793" s="17"/>
    </row>
    <row r="2794" spans="1:9" ht="25.5" customHeight="1" x14ac:dyDescent="0.2">
      <c r="A2794" s="27">
        <v>2792</v>
      </c>
      <c r="B2794" s="29" t="s">
        <v>29</v>
      </c>
      <c r="C2794" s="29" t="str">
        <f ca="1">IFERROR(__xludf.DUMMYFUNCTION("GOOGLETRANSLATE(C36,""en"",""hr"")"),"Poklopac")</f>
        <v>Poklopac</v>
      </c>
      <c r="D2794" s="28" t="s">
        <v>11</v>
      </c>
      <c r="E2794" s="29">
        <v>1</v>
      </c>
      <c r="F2794" s="17"/>
    </row>
    <row r="2795" spans="1:9" ht="25.5" customHeight="1" x14ac:dyDescent="0.2">
      <c r="A2795" s="27">
        <v>2793</v>
      </c>
      <c r="B2795" s="29" t="s">
        <v>119</v>
      </c>
      <c r="C2795" s="29" t="str">
        <f ca="1">IFERROR(__xludf.DUMMYFUNCTION("GOOGLETRANSLATE(C249,""en"",""hr"")"),"Čep goriva")</f>
        <v>Čep goriva</v>
      </c>
      <c r="D2795" s="28" t="s">
        <v>11</v>
      </c>
      <c r="E2795" s="29">
        <v>1</v>
      </c>
      <c r="F2795" s="17"/>
      <c r="I2795" s="4" t="b">
        <f>INT(F2793*100)=(F2793*100)</f>
        <v>1</v>
      </c>
    </row>
    <row r="2796" spans="1:9" ht="25.5" customHeight="1" x14ac:dyDescent="0.2">
      <c r="A2796" s="27">
        <v>2794</v>
      </c>
      <c r="B2796" s="29" t="s">
        <v>1771</v>
      </c>
      <c r="C2796" s="29" t="str">
        <f ca="1">IFERROR(__xludf.DUMMYFUNCTION("GOOGLETRANSLATE(C6140,""en"",""hr"")"),"Solenoid")</f>
        <v>Solenoid</v>
      </c>
      <c r="D2796" s="28" t="s">
        <v>11</v>
      </c>
      <c r="E2796" s="29">
        <v>1</v>
      </c>
      <c r="F2796" s="17"/>
    </row>
    <row r="2797" spans="1:9" ht="25.5" customHeight="1" x14ac:dyDescent="0.2">
      <c r="A2797" s="27">
        <v>2795</v>
      </c>
      <c r="B2797" s="29" t="s">
        <v>114</v>
      </c>
      <c r="C2797" s="29" t="str">
        <f ca="1">IFERROR(__xludf.DUMMYFUNCTION("GOOGLETRANSLATE(C232,""en"",""hr"")"),"Separator ulja")</f>
        <v>Separator ulja</v>
      </c>
      <c r="D2797" s="28" t="s">
        <v>11</v>
      </c>
      <c r="E2797" s="29">
        <v>1</v>
      </c>
      <c r="F2797" s="17"/>
    </row>
    <row r="2798" spans="1:9" ht="25.5" customHeight="1" x14ac:dyDescent="0.2">
      <c r="A2798" s="27">
        <v>2796</v>
      </c>
      <c r="B2798" s="29" t="s">
        <v>115</v>
      </c>
      <c r="C2798" s="29" t="str">
        <f ca="1">IFERROR(__xludf.DUMMYFUNCTION("GOOGLETRANSLATE(C233,""en"",""hr"")"),"Poklopac glave brtve")</f>
        <v>Poklopac glave brtve</v>
      </c>
      <c r="D2798" s="28" t="s">
        <v>11</v>
      </c>
      <c r="E2798" s="29">
        <v>1</v>
      </c>
      <c r="F2798" s="17"/>
    </row>
    <row r="2799" spans="1:9" ht="25.5" customHeight="1" x14ac:dyDescent="0.2">
      <c r="A2799" s="27">
        <v>2797</v>
      </c>
      <c r="B2799" s="29" t="s">
        <v>117</v>
      </c>
      <c r="C2799" s="29" t="str">
        <f ca="1">IFERROR(__xludf.DUMMYFUNCTION("GOOGLETRANSLATE(C235,""en"",""hr"")"),"Komplet cijevi za ubrizgavanje R754 EU6+ISE4 (3B)")</f>
        <v>Komplet cijevi za ubrizgavanje R754 EU6+ISE4 (3B)</v>
      </c>
      <c r="D2799" s="28" t="s">
        <v>11</v>
      </c>
      <c r="E2799" s="29">
        <v>1</v>
      </c>
      <c r="F2799" s="17"/>
      <c r="I2799" s="4" t="b">
        <f>INT(F2797*100)=(F2797*100)</f>
        <v>1</v>
      </c>
    </row>
    <row r="2800" spans="1:9" ht="25.5" customHeight="1" x14ac:dyDescent="0.2">
      <c r="A2800" s="27">
        <v>2798</v>
      </c>
      <c r="B2800" s="29" t="s">
        <v>26</v>
      </c>
      <c r="C2800" s="29" t="str">
        <f ca="1">IFERROR(__xludf.DUMMYFUNCTION("GOOGLETRANSLATE(C27,""en"",""hr"")"),"Filtarski uložak")</f>
        <v>Filtarski uložak</v>
      </c>
      <c r="D2800" s="28" t="s">
        <v>11</v>
      </c>
      <c r="E2800" s="29">
        <v>1</v>
      </c>
      <c r="F2800" s="17"/>
    </row>
    <row r="2801" spans="1:6" ht="25.5" customHeight="1" x14ac:dyDescent="0.2">
      <c r="A2801" s="27">
        <v>2799</v>
      </c>
      <c r="B2801" s="29" t="s">
        <v>40</v>
      </c>
      <c r="C2801" s="29" t="str">
        <f ca="1">IFERROR(__xludf.DUMMYFUNCTION("GOOGLETRANSLATE(C56,""en"",""hr"")"),"Prigušivač vibracija (četiri komada uključena)!")</f>
        <v>Prigušivač vibracija (četiri komada uključena)!</v>
      </c>
      <c r="D2801" s="28" t="s">
        <v>11</v>
      </c>
      <c r="E2801" s="29">
        <v>1</v>
      </c>
      <c r="F2801" s="17"/>
    </row>
    <row r="2802" spans="1:6" ht="25.5" customHeight="1" x14ac:dyDescent="0.2">
      <c r="A2802" s="27">
        <v>2800</v>
      </c>
      <c r="B2802" s="29" t="s">
        <v>46</v>
      </c>
      <c r="C2802" s="29" t="str">
        <f ca="1">IFERROR(__xludf.DUMMYFUNCTION("GOOGLETRANSLATE(C74,""en"",""hr"")"),"Matica kotača")</f>
        <v>Matica kotača</v>
      </c>
      <c r="D2802" s="28" t="s">
        <v>11</v>
      </c>
      <c r="E2802" s="29">
        <v>1</v>
      </c>
      <c r="F2802" s="17"/>
    </row>
    <row r="2803" spans="1:6" ht="25.5" customHeight="1" x14ac:dyDescent="0.2">
      <c r="A2803" s="27">
        <v>2801</v>
      </c>
      <c r="B2803" s="29" t="s">
        <v>1587</v>
      </c>
      <c r="C2803" s="29" t="str">
        <f ca="1">IFERROR(__xludf.DUMMYFUNCTION("GOOGLETRANSLATE(C5367,""en"",""hr"")"),"Vijak, slavina")</f>
        <v>Vijak, slavina</v>
      </c>
      <c r="D2803" s="28" t="s">
        <v>11</v>
      </c>
      <c r="E2803" s="29">
        <v>1</v>
      </c>
      <c r="F2803" s="17"/>
    </row>
    <row r="2804" spans="1:6" ht="25.5" customHeight="1" x14ac:dyDescent="0.2">
      <c r="A2804" s="27">
        <v>2802</v>
      </c>
      <c r="B2804" s="29" t="s">
        <v>1897</v>
      </c>
      <c r="C2804" s="29" t="str">
        <f ca="1">IFERROR(__xludf.DUMMYFUNCTION("GOOGLETRANSLATE(C6620,""en"",""hr"")"),"Vijak, slavina")</f>
        <v>Vijak, slavina</v>
      </c>
      <c r="D2804" s="28" t="s">
        <v>11</v>
      </c>
      <c r="E2804" s="29">
        <v>1</v>
      </c>
      <c r="F2804" s="17"/>
    </row>
    <row r="2805" spans="1:6" ht="25.5" customHeight="1" x14ac:dyDescent="0.2">
      <c r="A2805" s="27">
        <v>2803</v>
      </c>
      <c r="B2805" s="29" t="s">
        <v>1908</v>
      </c>
      <c r="C2805" s="29" t="str">
        <f ca="1">IFERROR(__xludf.DUMMYFUNCTION("GOOGLETRANSLATE(C6654,""en"",""hr"")"),"Vijak, slavina")</f>
        <v>Vijak, slavina</v>
      </c>
      <c r="D2805" s="28" t="s">
        <v>11</v>
      </c>
      <c r="E2805" s="29">
        <v>1</v>
      </c>
      <c r="F2805" s="17"/>
    </row>
    <row r="2806" spans="1:6" ht="25.5" customHeight="1" x14ac:dyDescent="0.2">
      <c r="A2806" s="27">
        <v>2804</v>
      </c>
      <c r="B2806" s="29" t="s">
        <v>1632</v>
      </c>
      <c r="C2806" s="29" t="str">
        <f ca="1">IFERROR(__xludf.DUMMYFUNCTION("GOOGLETRANSLATE(C5493,""en"",""hr"")"),"Vijak, slavina")</f>
        <v>Vijak, slavina</v>
      </c>
      <c r="D2806" s="28" t="s">
        <v>11</v>
      </c>
      <c r="E2806" s="29">
        <v>1</v>
      </c>
      <c r="F2806" s="17"/>
    </row>
    <row r="2807" spans="1:6" ht="25.5" customHeight="1" x14ac:dyDescent="0.2">
      <c r="A2807" s="27">
        <v>2805</v>
      </c>
      <c r="B2807" s="29" t="s">
        <v>1837</v>
      </c>
      <c r="C2807" s="29" t="str">
        <f ca="1">IFERROR(__xludf.DUMMYFUNCTION("GOOGLETRANSLATE(C6430,""en"",""hr"")"),"Vijak, slavina")</f>
        <v>Vijak, slavina</v>
      </c>
      <c r="D2807" s="28" t="s">
        <v>11</v>
      </c>
      <c r="E2807" s="29">
        <v>1</v>
      </c>
      <c r="F2807" s="17"/>
    </row>
    <row r="2808" spans="1:6" ht="25.5" customHeight="1" x14ac:dyDescent="0.2">
      <c r="A2808" s="27">
        <v>2806</v>
      </c>
      <c r="B2808" s="29" t="s">
        <v>1838</v>
      </c>
      <c r="C2808" s="29" t="str">
        <f ca="1">IFERROR(__xludf.DUMMYFUNCTION("GOOGLETRANSLATE(C6431,""en"",""hr"")"),"Vijak, slavina")</f>
        <v>Vijak, slavina</v>
      </c>
      <c r="D2808" s="28" t="s">
        <v>11</v>
      </c>
      <c r="E2808" s="29">
        <v>1</v>
      </c>
      <c r="F2808" s="17"/>
    </row>
    <row r="2809" spans="1:6" ht="25.5" customHeight="1" x14ac:dyDescent="0.2">
      <c r="A2809" s="27">
        <v>2807</v>
      </c>
      <c r="B2809" s="29" t="s">
        <v>1840</v>
      </c>
      <c r="C2809" s="29" t="str">
        <f ca="1">IFERROR(__xludf.DUMMYFUNCTION("GOOGLETRANSLATE(C6433,""en"",""hr"")"),"Vijak, slavina")</f>
        <v>Vijak, slavina</v>
      </c>
      <c r="D2809" s="28" t="s">
        <v>11</v>
      </c>
      <c r="E2809" s="29">
        <v>1</v>
      </c>
      <c r="F2809" s="17"/>
    </row>
    <row r="2810" spans="1:6" ht="25.5" customHeight="1" x14ac:dyDescent="0.2">
      <c r="A2810" s="27">
        <v>2808</v>
      </c>
      <c r="B2810" s="29" t="s">
        <v>1481</v>
      </c>
      <c r="C2810" s="29" t="str">
        <f ca="1">IFERROR(__xludf.DUMMYFUNCTION("GOOGLETRANSLATE(C4969,""en"",""hr"")"),"Vijak")</f>
        <v>Vijak</v>
      </c>
      <c r="D2810" s="28" t="s">
        <v>11</v>
      </c>
      <c r="E2810" s="29">
        <v>1</v>
      </c>
      <c r="F2810" s="17"/>
    </row>
    <row r="2811" spans="1:6" ht="25.5" customHeight="1" x14ac:dyDescent="0.2">
      <c r="A2811" s="27">
        <v>2809</v>
      </c>
      <c r="B2811" s="29" t="s">
        <v>1906</v>
      </c>
      <c r="C2811" s="29" t="str">
        <f ca="1">IFERROR(__xludf.DUMMYFUNCTION("GOOGLETRANSLATE(C6644,""en"",""hr"")"),"Magnetski prsten")</f>
        <v>Magnetski prsten</v>
      </c>
      <c r="D2811" s="28" t="s">
        <v>11</v>
      </c>
      <c r="E2811" s="29">
        <v>1</v>
      </c>
      <c r="F2811" s="17"/>
    </row>
    <row r="2812" spans="1:6" ht="25.5" customHeight="1" x14ac:dyDescent="0.2">
      <c r="A2812" s="27">
        <v>2810</v>
      </c>
      <c r="B2812" s="29" t="s">
        <v>1025</v>
      </c>
      <c r="C2812" s="29" t="str">
        <f ca="1">IFERROR(__xludf.DUMMYFUNCTION("GOOGLETRANSLATE(C3331,""en"",""hr"")"),"Valjak")</f>
        <v>Valjak</v>
      </c>
      <c r="D2812" s="28" t="s">
        <v>11</v>
      </c>
      <c r="E2812" s="29">
        <v>1</v>
      </c>
      <c r="F2812" s="17"/>
    </row>
    <row r="2813" spans="1:6" ht="25.5" customHeight="1" x14ac:dyDescent="0.2">
      <c r="A2813" s="27">
        <v>2811</v>
      </c>
      <c r="B2813" s="29" t="s">
        <v>1219</v>
      </c>
      <c r="C2813" s="29" t="str">
        <f ca="1">IFERROR(__xludf.DUMMYFUNCTION("GOOGLETRANSLATE(C3857,""en"",""hr"")"),"Koplje visokog pritiska")</f>
        <v>Koplje visokog pritiska</v>
      </c>
      <c r="D2813" s="28" t="s">
        <v>11</v>
      </c>
      <c r="E2813" s="29">
        <v>1</v>
      </c>
      <c r="F2813" s="17"/>
    </row>
    <row r="2814" spans="1:6" ht="25.5" customHeight="1" x14ac:dyDescent="0.2">
      <c r="A2814" s="27">
        <v>2812</v>
      </c>
      <c r="B2814" s="29" t="s">
        <v>545</v>
      </c>
      <c r="C2814" s="29" t="str">
        <f ca="1">IFERROR(__xludf.DUMMYFUNCTION("GOOGLETRANSLATE(C1456,""en"",""hr"")"),"Gumeni držač")</f>
        <v>Gumeni držač</v>
      </c>
      <c r="D2814" s="28" t="s">
        <v>11</v>
      </c>
      <c r="E2814" s="29">
        <v>1</v>
      </c>
      <c r="F2814" s="17"/>
    </row>
    <row r="2815" spans="1:6" ht="25.5" customHeight="1" x14ac:dyDescent="0.2">
      <c r="A2815" s="27">
        <v>2813</v>
      </c>
      <c r="B2815" s="29" t="s">
        <v>546</v>
      </c>
      <c r="C2815" s="29" t="str">
        <f ca="1">IFERROR(__xludf.DUMMYFUNCTION("GOOGLETRANSLATE(C1457,""en"",""hr"")"),"Gumeni držač")</f>
        <v>Gumeni držač</v>
      </c>
      <c r="D2815" s="28" t="s">
        <v>11</v>
      </c>
      <c r="E2815" s="29">
        <v>1</v>
      </c>
      <c r="F2815" s="17"/>
    </row>
    <row r="2816" spans="1:6" ht="25.5" customHeight="1" x14ac:dyDescent="0.2">
      <c r="A2816" s="27">
        <v>2814</v>
      </c>
      <c r="B2816" s="29" t="s">
        <v>1532</v>
      </c>
      <c r="C2816" s="29" t="str">
        <f ca="1">IFERROR(__xludf.DUMMYFUNCTION("GOOGLETRANSLATE(C5187,""en"",""hr"")"),"Razdjelnik zraka")</f>
        <v>Razdjelnik zraka</v>
      </c>
      <c r="D2816" s="28" t="s">
        <v>11</v>
      </c>
      <c r="E2816" s="29">
        <v>1</v>
      </c>
      <c r="F2816" s="17"/>
    </row>
    <row r="2817" spans="1:9" ht="25.5" customHeight="1" x14ac:dyDescent="0.2">
      <c r="A2817" s="27">
        <v>2815</v>
      </c>
      <c r="B2817" s="29" t="s">
        <v>33</v>
      </c>
      <c r="C2817" s="29" t="str">
        <f ca="1">IFERROR(__xludf.DUMMYFUNCTION("GOOGLETRANSLATE(C44,""en"",""hr"")"),"Širokokutni retrovizor")</f>
        <v>Širokokutni retrovizor</v>
      </c>
      <c r="D2817" s="28" t="s">
        <v>11</v>
      </c>
      <c r="E2817" s="29">
        <v>1</v>
      </c>
      <c r="F2817" s="17"/>
    </row>
    <row r="2818" spans="1:9" ht="25.5" customHeight="1" x14ac:dyDescent="0.2">
      <c r="A2818" s="27">
        <v>2816</v>
      </c>
      <c r="B2818" s="29" t="s">
        <v>1517</v>
      </c>
      <c r="C2818" s="29" t="str">
        <f ca="1">IFERROR(__xludf.DUMMYFUNCTION("GOOGLETRANSLATE(C5147,""en"",""hr"")"),"Ventil nadtlaka")</f>
        <v>Ventil nadtlaka</v>
      </c>
      <c r="D2818" s="28" t="s">
        <v>11</v>
      </c>
      <c r="E2818" s="29">
        <v>1</v>
      </c>
      <c r="F2818" s="17"/>
      <c r="I2818" s="4" t="b">
        <f>INT(F2816*100)=(F2816*100)</f>
        <v>1</v>
      </c>
    </row>
    <row r="2819" spans="1:9" ht="25.5" customHeight="1" x14ac:dyDescent="0.2">
      <c r="A2819" s="27">
        <v>2817</v>
      </c>
      <c r="B2819" s="29" t="s">
        <v>32</v>
      </c>
      <c r="C2819" s="29" t="str">
        <f ca="1">IFERROR(__xludf.DUMMYFUNCTION("GOOGLETRANSLATE(C41,""en"",""hr"")"),"Ogledalo")</f>
        <v>Ogledalo</v>
      </c>
      <c r="D2819" s="28" t="s">
        <v>11</v>
      </c>
      <c r="E2819" s="29">
        <v>1</v>
      </c>
      <c r="F2819" s="17"/>
    </row>
    <row r="2820" spans="1:9" ht="25.5" customHeight="1" x14ac:dyDescent="0.2">
      <c r="A2820" s="27">
        <v>2818</v>
      </c>
      <c r="B2820" s="29" t="s">
        <v>1527</v>
      </c>
      <c r="C2820" s="29" t="str">
        <f ca="1">IFERROR(__xludf.DUMMYFUNCTION("GOOGLETRANSLATE(C5176,""en"",""hr"")"),"Zaklopka za pritisak")</f>
        <v>Zaklopka za pritisak</v>
      </c>
      <c r="D2820" s="28" t="s">
        <v>11</v>
      </c>
      <c r="E2820" s="29">
        <v>1</v>
      </c>
      <c r="F2820" s="17"/>
    </row>
    <row r="2821" spans="1:9" ht="25.5" customHeight="1" x14ac:dyDescent="0.2">
      <c r="A2821" s="27">
        <v>2819</v>
      </c>
      <c r="B2821" s="29" t="s">
        <v>1528</v>
      </c>
      <c r="C2821" s="29" t="str">
        <f ca="1">IFERROR(__xludf.DUMMYFUNCTION("GOOGLETRANSLATE(C5177,""en"",""hr"")"),"Uklapanje")</f>
        <v>Uklapanje</v>
      </c>
      <c r="D2821" s="28" t="s">
        <v>11</v>
      </c>
      <c r="E2821" s="29">
        <v>1</v>
      </c>
      <c r="F2821" s="17"/>
      <c r="I2821" s="4" t="b">
        <f>INT(F2819*100)=(F2819*100)</f>
        <v>1</v>
      </c>
    </row>
    <row r="2822" spans="1:9" ht="25.5" customHeight="1" x14ac:dyDescent="0.2">
      <c r="A2822" s="27">
        <v>2820</v>
      </c>
      <c r="B2822" s="29" t="s">
        <v>1099</v>
      </c>
      <c r="C2822" s="29" t="str">
        <f ca="1">IFERROR(__xludf.DUMMYFUNCTION("GOOGLETRANSLATE(C3556,""en"",""hr"")"),"Nazuvica za crijevo")</f>
        <v>Nazuvica za crijevo</v>
      </c>
      <c r="D2822" s="28" t="s">
        <v>11</v>
      </c>
      <c r="E2822" s="29">
        <v>1</v>
      </c>
      <c r="F2822" s="17"/>
    </row>
    <row r="2823" spans="1:9" ht="25.5" customHeight="1" x14ac:dyDescent="0.2">
      <c r="A2823" s="27">
        <v>2821</v>
      </c>
      <c r="B2823" s="29" t="s">
        <v>1904</v>
      </c>
      <c r="C2823" s="29" t="str">
        <f ca="1">IFERROR(__xludf.DUMMYFUNCTION("GOOGLETRANSLATE(C6639,""en"",""hr"")"),"Vijak s nazubljenom glavom")</f>
        <v>Vijak s nazubljenom glavom</v>
      </c>
      <c r="D2823" s="28" t="s">
        <v>11</v>
      </c>
      <c r="E2823" s="29">
        <v>1</v>
      </c>
      <c r="F2823" s="17"/>
    </row>
    <row r="2824" spans="1:9" ht="25.5" customHeight="1" x14ac:dyDescent="0.2">
      <c r="A2824" s="27">
        <v>2822</v>
      </c>
      <c r="B2824" s="29" t="s">
        <v>390</v>
      </c>
      <c r="C2824" s="29" t="str">
        <f ca="1">IFERROR(__xludf.DUMMYFUNCTION("GOOGLETRANSLATE(C915,""en"",""hr"")"),"Držač")</f>
        <v>Držač</v>
      </c>
      <c r="D2824" s="28" t="s">
        <v>11</v>
      </c>
      <c r="E2824" s="29">
        <v>1</v>
      </c>
      <c r="F2824" s="17"/>
    </row>
    <row r="2825" spans="1:9" ht="25.5" customHeight="1" x14ac:dyDescent="0.2">
      <c r="A2825" s="27">
        <v>2823</v>
      </c>
      <c r="B2825" s="29" t="s">
        <v>1216</v>
      </c>
      <c r="C2825" s="29" t="str">
        <f ca="1">IFERROR(__xludf.DUMMYFUNCTION("GOOGLETRANSLATE(C3850,""en"",""hr"")"),"Veza")</f>
        <v>Veza</v>
      </c>
      <c r="D2825" s="28" t="s">
        <v>11</v>
      </c>
      <c r="E2825" s="29">
        <v>1</v>
      </c>
      <c r="F2825" s="17"/>
      <c r="I2825" s="4" t="b">
        <f>INT(F2823*100)=(F2823*100)</f>
        <v>1</v>
      </c>
    </row>
    <row r="2826" spans="1:9" ht="25.5" customHeight="1" x14ac:dyDescent="0.2">
      <c r="A2826" s="27">
        <v>2824</v>
      </c>
      <c r="B2826" s="29" t="s">
        <v>1215</v>
      </c>
      <c r="C2826" s="29" t="str">
        <f ca="1">IFERROR(__xludf.DUMMYFUNCTION("GOOGLETRANSLATE(C3847,""en"",""hr"")"),"Ravni uvrtni vijčani spoj")</f>
        <v>Ravni uvrtni vijčani spoj</v>
      </c>
      <c r="D2826" s="28" t="s">
        <v>11</v>
      </c>
      <c r="E2826" s="29">
        <v>1</v>
      </c>
      <c r="F2826" s="17"/>
    </row>
    <row r="2827" spans="1:9" ht="25.5" customHeight="1" x14ac:dyDescent="0.2">
      <c r="A2827" s="27">
        <v>2825</v>
      </c>
      <c r="B2827" s="29" t="s">
        <v>1318</v>
      </c>
      <c r="C2827" s="29" t="str">
        <f ca="1">IFERROR(__xludf.DUMMYFUNCTION("GOOGLETRANSLATE(C4155,""en"",""hr"")"),"Ravni uvrtni vijčani spoj")</f>
        <v>Ravni uvrtni vijčani spoj</v>
      </c>
      <c r="D2827" s="28" t="s">
        <v>11</v>
      </c>
      <c r="E2827" s="29">
        <v>1</v>
      </c>
      <c r="F2827" s="17"/>
    </row>
    <row r="2828" spans="1:9" ht="25.5" customHeight="1" x14ac:dyDescent="0.2">
      <c r="A2828" s="27">
        <v>2826</v>
      </c>
      <c r="B2828" s="29" t="s">
        <v>1157</v>
      </c>
      <c r="C2828" s="29" t="str">
        <f ca="1">IFERROR(__xludf.DUMMYFUNCTION("GOOGLETRANSLATE(C3758,""en"",""hr"")"),"Adapter")</f>
        <v>Adapter</v>
      </c>
      <c r="D2828" s="28" t="s">
        <v>11</v>
      </c>
      <c r="E2828" s="29">
        <v>1</v>
      </c>
      <c r="F2828" s="17"/>
    </row>
    <row r="2829" spans="1:9" ht="25.5" customHeight="1" x14ac:dyDescent="0.2">
      <c r="A2829" s="27">
        <v>2827</v>
      </c>
      <c r="B2829" s="29" t="s">
        <v>907</v>
      </c>
      <c r="C2829" s="29" t="str">
        <f ca="1">IFERROR(__xludf.DUMMYFUNCTION("GOOGLETRANSLATE(C2703,""en"",""hr"")"),"Ravni uvrtni vijčani spoj")</f>
        <v>Ravni uvrtni vijčani spoj</v>
      </c>
      <c r="D2829" s="28" t="s">
        <v>11</v>
      </c>
      <c r="E2829" s="29">
        <v>1</v>
      </c>
      <c r="F2829" s="17"/>
    </row>
    <row r="2830" spans="1:9" ht="25.5" customHeight="1" x14ac:dyDescent="0.2">
      <c r="A2830" s="27">
        <v>2828</v>
      </c>
      <c r="B2830" s="29" t="s">
        <v>1209</v>
      </c>
      <c r="C2830" s="29" t="str">
        <f ca="1">IFERROR(__xludf.DUMMYFUNCTION("GOOGLETRANSLATE(C3834,""en"",""hr"")"),"Okov-t")</f>
        <v>Okov-t</v>
      </c>
      <c r="D2830" s="28" t="s">
        <v>11</v>
      </c>
      <c r="E2830" s="29">
        <v>1</v>
      </c>
      <c r="F2830" s="17"/>
    </row>
    <row r="2831" spans="1:9" ht="25.5" customHeight="1" x14ac:dyDescent="0.2">
      <c r="A2831" s="27">
        <v>2829</v>
      </c>
      <c r="B2831" s="29" t="s">
        <v>1250</v>
      </c>
      <c r="C2831" s="29" t="str">
        <f ca="1">IFERROR(__xludf.DUMMYFUNCTION("GOOGLETRANSLATE(C3956,""en"",""hr"")"),"Okretna matica 1 1/2""")</f>
        <v>Okretna matica 1 1/2"</v>
      </c>
      <c r="D2831" s="28" t="s">
        <v>11</v>
      </c>
      <c r="E2831" s="29">
        <v>1</v>
      </c>
      <c r="F2831" s="17"/>
    </row>
    <row r="2832" spans="1:9" ht="25.5" customHeight="1" x14ac:dyDescent="0.2">
      <c r="A2832" s="27">
        <v>2830</v>
      </c>
      <c r="B2832" s="29" t="s">
        <v>1145</v>
      </c>
      <c r="C2832" s="29" t="str">
        <f ca="1">IFERROR(__xludf.DUMMYFUNCTION("GOOGLETRANSLATE(C3708,""en"",""hr"")"),"Orah")</f>
        <v>Orah</v>
      </c>
      <c r="D2832" s="28" t="s">
        <v>11</v>
      </c>
      <c r="E2832" s="29">
        <v>1</v>
      </c>
      <c r="F2832" s="17"/>
    </row>
    <row r="2833" spans="1:9" ht="25.5" customHeight="1" x14ac:dyDescent="0.2">
      <c r="A2833" s="27">
        <v>2831</v>
      </c>
      <c r="B2833" s="29" t="s">
        <v>1243</v>
      </c>
      <c r="C2833" s="29" t="str">
        <f ca="1">IFERROR(__xludf.DUMMYFUNCTION("GOOGLETRANSLATE(C3948,""en"",""hr"")"),"brtva")</f>
        <v>brtva</v>
      </c>
      <c r="D2833" s="28" t="s">
        <v>11</v>
      </c>
      <c r="E2833" s="29">
        <v>1</v>
      </c>
      <c r="F2833" s="17"/>
    </row>
    <row r="2834" spans="1:9" ht="25.5" customHeight="1" x14ac:dyDescent="0.2">
      <c r="A2834" s="27">
        <v>2832</v>
      </c>
      <c r="B2834" s="29" t="s">
        <v>1208</v>
      </c>
      <c r="C2834" s="29" t="str">
        <f ca="1">IFERROR(__xludf.DUMMYFUNCTION("GOOGLETRANSLATE(C3830,""en"",""hr"")"),"brtva")</f>
        <v>brtva</v>
      </c>
      <c r="D2834" s="28" t="s">
        <v>11</v>
      </c>
      <c r="E2834" s="29">
        <v>1</v>
      </c>
      <c r="F2834" s="17"/>
    </row>
    <row r="2835" spans="1:9" ht="25.5" customHeight="1" x14ac:dyDescent="0.2">
      <c r="A2835" s="27">
        <v>2833</v>
      </c>
      <c r="B2835" s="29" t="s">
        <v>511</v>
      </c>
      <c r="C2835" s="29" t="str">
        <f ca="1">IFERROR(__xludf.DUMMYFUNCTION("GOOGLETRANSLATE(C1300,""en"",""hr"")"),"Banjo vijak")</f>
        <v>Banjo vijak</v>
      </c>
      <c r="D2835" s="28" t="s">
        <v>11</v>
      </c>
      <c r="E2835" s="29">
        <v>1</v>
      </c>
      <c r="F2835" s="17"/>
    </row>
    <row r="2836" spans="1:9" ht="25.5" customHeight="1" x14ac:dyDescent="0.2">
      <c r="A2836" s="27">
        <v>2834</v>
      </c>
      <c r="B2836" s="29" t="s">
        <v>510</v>
      </c>
      <c r="C2836" s="29" t="str">
        <f ca="1">IFERROR(__xludf.DUMMYFUNCTION("GOOGLETRANSLATE(C1299,""en"",""hr"")"),"Nazuvica za crijevo")</f>
        <v>Nazuvica za crijevo</v>
      </c>
      <c r="D2836" s="28" t="s">
        <v>11</v>
      </c>
      <c r="E2836" s="29">
        <v>1</v>
      </c>
      <c r="F2836" s="17"/>
    </row>
    <row r="2837" spans="1:9" ht="25.5" customHeight="1" x14ac:dyDescent="0.2">
      <c r="A2837" s="27">
        <v>2835</v>
      </c>
      <c r="B2837" s="29" t="s">
        <v>720</v>
      </c>
      <c r="C2837" s="29" t="str">
        <f ca="1">IFERROR(__xludf.DUMMYFUNCTION("GOOGLETRANSLATE(C2274,""en"",""hr"")"),"Zglobna lopta")</f>
        <v>Zglobna lopta</v>
      </c>
      <c r="D2837" s="28" t="s">
        <v>11</v>
      </c>
      <c r="E2837" s="29">
        <v>1</v>
      </c>
      <c r="F2837" s="17"/>
    </row>
    <row r="2838" spans="1:9" ht="25.5" customHeight="1" x14ac:dyDescent="0.2">
      <c r="A2838" s="27">
        <v>2836</v>
      </c>
      <c r="B2838" s="29" t="s">
        <v>726</v>
      </c>
      <c r="C2838" s="29" t="str">
        <f ca="1">IFERROR(__xludf.DUMMYFUNCTION("GOOGLETRANSLATE(C2285,""en"",""hr"")"),"Zglobna lopta")</f>
        <v>Zglobna lopta</v>
      </c>
      <c r="D2838" s="28" t="s">
        <v>11</v>
      </c>
      <c r="E2838" s="29">
        <v>1</v>
      </c>
      <c r="F2838" s="17"/>
    </row>
    <row r="2839" spans="1:9" ht="25.5" customHeight="1" x14ac:dyDescent="0.2">
      <c r="A2839" s="27">
        <v>2837</v>
      </c>
      <c r="B2839" s="29" t="s">
        <v>729</v>
      </c>
      <c r="C2839" s="29" t="str">
        <f ca="1">IFERROR(__xludf.DUMMYFUNCTION("GOOGLETRANSLATE(C2288,""en"",""hr"")"),"Zglobna lopta")</f>
        <v>Zglobna lopta</v>
      </c>
      <c r="D2839" s="28" t="s">
        <v>11</v>
      </c>
      <c r="E2839" s="29">
        <v>1</v>
      </c>
      <c r="F2839" s="17"/>
    </row>
    <row r="2840" spans="1:9" ht="25.5" customHeight="1" x14ac:dyDescent="0.2">
      <c r="A2840" s="27">
        <v>2838</v>
      </c>
      <c r="B2840" s="29" t="s">
        <v>715</v>
      </c>
      <c r="C2840" s="29" t="str">
        <f ca="1">IFERROR(__xludf.DUMMYFUNCTION("GOOGLETRANSLATE(C2259,""en"",""hr"")"),"Zglobna lopta")</f>
        <v>Zglobna lopta</v>
      </c>
      <c r="D2840" s="28" t="s">
        <v>11</v>
      </c>
      <c r="E2840" s="29">
        <v>1</v>
      </c>
      <c r="F2840" s="17"/>
    </row>
    <row r="2841" spans="1:9" ht="25.5" customHeight="1" x14ac:dyDescent="0.2">
      <c r="A2841" s="27">
        <v>2839</v>
      </c>
      <c r="B2841" s="29" t="s">
        <v>1485</v>
      </c>
      <c r="C2841" s="29" t="str">
        <f ca="1">IFERROR(__xludf.DUMMYFUNCTION("GOOGLETRANSLATE(C4973,""en"",""hr"")"),"Grommet")</f>
        <v>Grommet</v>
      </c>
      <c r="D2841" s="28" t="s">
        <v>11</v>
      </c>
      <c r="E2841" s="29">
        <v>1</v>
      </c>
      <c r="F2841" s="17"/>
    </row>
    <row r="2842" spans="1:9" ht="25.5" customHeight="1" x14ac:dyDescent="0.2">
      <c r="A2842" s="27">
        <v>2840</v>
      </c>
      <c r="B2842" s="29" t="s">
        <v>1907</v>
      </c>
      <c r="C2842" s="29" t="str">
        <f ca="1">IFERROR(__xludf.DUMMYFUNCTION("GOOGLETRANSLATE(C6648,""en"",""hr"")"),"Čahura kabela")</f>
        <v>Čahura kabela</v>
      </c>
      <c r="D2842" s="28" t="s">
        <v>11</v>
      </c>
      <c r="E2842" s="29">
        <v>1</v>
      </c>
      <c r="F2842" s="17"/>
    </row>
    <row r="2843" spans="1:9" ht="25.5" customHeight="1" x14ac:dyDescent="0.2">
      <c r="A2843" s="27">
        <v>2841</v>
      </c>
      <c r="B2843" s="29" t="s">
        <v>1575</v>
      </c>
      <c r="C2843" s="29" t="str">
        <f ca="1">IFERROR(__xludf.DUMMYFUNCTION("GOOGLETRANSLATE(C5337,""en"",""hr"")"),"Grommet")</f>
        <v>Grommet</v>
      </c>
      <c r="D2843" s="28" t="s">
        <v>11</v>
      </c>
      <c r="E2843" s="29">
        <v>1</v>
      </c>
      <c r="F2843" s="17"/>
      <c r="I2843" s="4" t="b">
        <f>INT(F2841*100)=(F2841*100)</f>
        <v>1</v>
      </c>
    </row>
    <row r="2844" spans="1:9" ht="25.5" customHeight="1" x14ac:dyDescent="0.2">
      <c r="A2844" s="27">
        <v>2842</v>
      </c>
      <c r="B2844" s="29" t="s">
        <v>275</v>
      </c>
      <c r="C2844" s="29" t="str">
        <f ca="1">IFERROR(__xludf.DUMMYFUNCTION("GOOGLETRANSLATE(C606,""en"",""hr"")"),"Proljetni klip")</f>
        <v>Proljetni klip</v>
      </c>
      <c r="D2844" s="28" t="s">
        <v>11</v>
      </c>
      <c r="E2844" s="29">
        <v>1</v>
      </c>
      <c r="F2844" s="17"/>
    </row>
    <row r="2845" spans="1:9" ht="25.5" customHeight="1" x14ac:dyDescent="0.2">
      <c r="A2845" s="27">
        <v>2843</v>
      </c>
      <c r="B2845" s="29" t="s">
        <v>1478</v>
      </c>
      <c r="C2845" s="29" t="str">
        <f ca="1">IFERROR(__xludf.DUMMYFUNCTION("GOOGLETRANSLATE(C4963,""en"",""hr"")"),"Rog")</f>
        <v>Rog</v>
      </c>
      <c r="D2845" s="28" t="s">
        <v>11</v>
      </c>
      <c r="E2845" s="29">
        <v>1</v>
      </c>
      <c r="F2845" s="17"/>
    </row>
    <row r="2846" spans="1:9" ht="25.5" customHeight="1" x14ac:dyDescent="0.2">
      <c r="A2846" s="27">
        <v>2844</v>
      </c>
      <c r="B2846" s="29" t="s">
        <v>1834</v>
      </c>
      <c r="C2846" s="29" t="str">
        <f ca="1">IFERROR(__xludf.DUMMYFUNCTION("GOOGLETRANSLATE(C6419,""en"",""hr"")"),"Sirena za vožnju unazad")</f>
        <v>Sirena za vožnju unazad</v>
      </c>
      <c r="D2846" s="28" t="s">
        <v>11</v>
      </c>
      <c r="E2846" s="29">
        <v>1</v>
      </c>
      <c r="F2846" s="17"/>
      <c r="I2846" s="4" t="b">
        <f>INT(F2844*100)=(F2844*100)</f>
        <v>1</v>
      </c>
    </row>
    <row r="2847" spans="1:9" ht="25.5" customHeight="1" x14ac:dyDescent="0.2">
      <c r="A2847" s="27">
        <v>2845</v>
      </c>
      <c r="B2847" s="29" t="s">
        <v>1848</v>
      </c>
      <c r="C2847" s="29" t="str">
        <f ca="1">IFERROR(__xludf.DUMMYFUNCTION("GOOGLETRANSLATE(C6458,""en"",""hr"")"),"Osigurač")</f>
        <v>Osigurač</v>
      </c>
      <c r="D2847" s="28" t="s">
        <v>11</v>
      </c>
      <c r="E2847" s="29">
        <v>1</v>
      </c>
      <c r="F2847" s="17"/>
    </row>
    <row r="2848" spans="1:9" ht="25.5" customHeight="1" x14ac:dyDescent="0.2">
      <c r="A2848" s="27">
        <v>2846</v>
      </c>
      <c r="B2848" s="29" t="s">
        <v>830</v>
      </c>
      <c r="C2848" s="29" t="str">
        <f ca="1">IFERROR(__xludf.DUMMYFUNCTION("GOOGLETRANSLATE(C2488,""en"",""hr"")"),"Koljenasti vijčani spoj")</f>
        <v>Koljenasti vijčani spoj</v>
      </c>
      <c r="D2848" s="28" t="s">
        <v>11</v>
      </c>
      <c r="E2848" s="29">
        <v>1</v>
      </c>
      <c r="F2848" s="17"/>
    </row>
    <row r="2849" spans="1:9" ht="25.5" customHeight="1" x14ac:dyDescent="0.2">
      <c r="A2849" s="27">
        <v>2847</v>
      </c>
      <c r="B2849" s="29" t="s">
        <v>1241</v>
      </c>
      <c r="C2849" s="29" t="str">
        <f ca="1">IFERROR(__xludf.DUMMYFUNCTION("GOOGLETRANSLATE(C3938,""en"",""hr"")"),"Priključak")</f>
        <v>Priključak</v>
      </c>
      <c r="D2849" s="28" t="s">
        <v>11</v>
      </c>
      <c r="E2849" s="29">
        <v>1</v>
      </c>
      <c r="F2849" s="17"/>
    </row>
    <row r="2850" spans="1:9" ht="25.5" customHeight="1" x14ac:dyDescent="0.2">
      <c r="A2850" s="27">
        <v>2848</v>
      </c>
      <c r="B2850" s="29" t="s">
        <v>1436</v>
      </c>
      <c r="C2850" s="29" t="str">
        <f ca="1">IFERROR(__xludf.DUMMYFUNCTION("GOOGLETRANSLATE(C4679,""en"",""hr"")"),"Krimp kontakt")</f>
        <v>Krimp kontakt</v>
      </c>
      <c r="D2850" s="28" t="s">
        <v>11</v>
      </c>
      <c r="E2850" s="29">
        <v>1</v>
      </c>
      <c r="F2850" s="17"/>
      <c r="I2850" s="4" t="b">
        <f>INT(F2848*100)=(F2848*100)</f>
        <v>1</v>
      </c>
    </row>
    <row r="2851" spans="1:9" ht="25.5" customHeight="1" x14ac:dyDescent="0.2">
      <c r="A2851" s="27">
        <v>2849</v>
      </c>
      <c r="B2851" s="29" t="s">
        <v>1513</v>
      </c>
      <c r="C2851" s="29" t="str">
        <f ca="1">IFERROR(__xludf.DUMMYFUNCTION("GOOGLETRANSLATE(C5121,""en"",""hr"")"),"Čahura")</f>
        <v>Čahura</v>
      </c>
      <c r="D2851" s="28" t="s">
        <v>11</v>
      </c>
      <c r="E2851" s="29">
        <v>1</v>
      </c>
      <c r="F2851" s="17"/>
    </row>
    <row r="2852" spans="1:9" ht="25.5" customHeight="1" x14ac:dyDescent="0.2">
      <c r="A2852" s="27">
        <v>2850</v>
      </c>
      <c r="B2852" s="29" t="s">
        <v>1512</v>
      </c>
      <c r="C2852" s="29" t="str">
        <f ca="1">IFERROR(__xludf.DUMMYFUNCTION("GOOGLETRANSLATE(C5120,""en"",""hr"")"),"Klin za zaključavanje")</f>
        <v>Klin za zaključavanje</v>
      </c>
      <c r="D2852" s="28" t="s">
        <v>11</v>
      </c>
      <c r="E2852" s="29">
        <v>1</v>
      </c>
      <c r="F2852" s="17"/>
    </row>
    <row r="2853" spans="1:9" ht="25.5" customHeight="1" x14ac:dyDescent="0.2">
      <c r="A2853" s="27">
        <v>2851</v>
      </c>
      <c r="B2853" s="29" t="s">
        <v>1437</v>
      </c>
      <c r="C2853" s="29" t="str">
        <f ca="1">IFERROR(__xludf.DUMMYFUNCTION("GOOGLETRANSLATE(C4680,""en"",""hr"")"),"Klin za zaključavanje")</f>
        <v>Klin za zaključavanje</v>
      </c>
      <c r="D2853" s="28" t="s">
        <v>11</v>
      </c>
      <c r="E2853" s="29">
        <v>1</v>
      </c>
      <c r="F2853" s="17"/>
    </row>
    <row r="2854" spans="1:9" ht="25.5" customHeight="1" x14ac:dyDescent="0.2">
      <c r="A2854" s="27">
        <v>2852</v>
      </c>
      <c r="B2854" s="29" t="s">
        <v>718</v>
      </c>
      <c r="C2854" s="29" t="str">
        <f ca="1">IFERROR(__xludf.DUMMYFUNCTION("GOOGLETRANSLATE(C2269,""en"",""hr"")"),"Podmazivač")</f>
        <v>Podmazivač</v>
      </c>
      <c r="D2854" s="28" t="s">
        <v>11</v>
      </c>
      <c r="E2854" s="29">
        <v>1</v>
      </c>
      <c r="F2854" s="17"/>
    </row>
    <row r="2855" spans="1:9" ht="25.5" customHeight="1" x14ac:dyDescent="0.2">
      <c r="A2855" s="27">
        <v>2853</v>
      </c>
      <c r="B2855" s="29" t="s">
        <v>326</v>
      </c>
      <c r="C2855" s="29" t="str">
        <f ca="1">IFERROR(__xludf.DUMMYFUNCTION("GOOGLETRANSLATE(C736,""en"",""hr"")"),"Orah")</f>
        <v>Orah</v>
      </c>
      <c r="D2855" s="28" t="s">
        <v>11</v>
      </c>
      <c r="E2855" s="29">
        <v>1</v>
      </c>
      <c r="F2855" s="17"/>
    </row>
    <row r="2856" spans="1:9" ht="25.5" customHeight="1" x14ac:dyDescent="0.2">
      <c r="A2856" s="27">
        <v>2854</v>
      </c>
      <c r="B2856" s="29" t="s">
        <v>723</v>
      </c>
      <c r="C2856" s="29" t="str">
        <f ca="1">IFERROR(__xludf.DUMMYFUNCTION("GOOGLETRANSLATE(C2280,""en"",""hr"")"),"Orah")</f>
        <v>Orah</v>
      </c>
      <c r="D2856" s="28" t="s">
        <v>11</v>
      </c>
      <c r="E2856" s="29">
        <v>1</v>
      </c>
      <c r="F2856" s="17"/>
    </row>
    <row r="2857" spans="1:9" ht="25.5" customHeight="1" x14ac:dyDescent="0.2">
      <c r="A2857" s="27">
        <v>2855</v>
      </c>
      <c r="B2857" s="29" t="s">
        <v>319</v>
      </c>
      <c r="C2857" s="29" t="str">
        <f ca="1">IFERROR(__xludf.DUMMYFUNCTION("GOOGLETRANSLATE(C724,""en"",""hr"")"),"Orah")</f>
        <v>Orah</v>
      </c>
      <c r="D2857" s="28" t="s">
        <v>11</v>
      </c>
      <c r="E2857" s="29">
        <v>1</v>
      </c>
      <c r="F2857" s="17"/>
    </row>
    <row r="2858" spans="1:9" ht="25.5" customHeight="1" x14ac:dyDescent="0.2">
      <c r="A2858" s="27">
        <v>2856</v>
      </c>
      <c r="B2858" s="29" t="s">
        <v>652</v>
      </c>
      <c r="C2858" s="29" t="str">
        <f ca="1">IFERROR(__xludf.DUMMYFUNCTION("GOOGLETRANSLATE(C2038,""en"",""hr"")"),"Orah")</f>
        <v>Orah</v>
      </c>
      <c r="D2858" s="28" t="s">
        <v>11</v>
      </c>
      <c r="E2858" s="29">
        <v>1</v>
      </c>
      <c r="F2858" s="17"/>
    </row>
    <row r="2859" spans="1:9" ht="25.5" customHeight="1" x14ac:dyDescent="0.2">
      <c r="A2859" s="27">
        <v>2857</v>
      </c>
      <c r="B2859" s="29" t="s">
        <v>634</v>
      </c>
      <c r="C2859" s="29" t="str">
        <f ca="1">IFERROR(__xludf.DUMMYFUNCTION("GOOGLETRANSLATE(C1949,""en"",""hr"")"),"Orah")</f>
        <v>Orah</v>
      </c>
      <c r="D2859" s="28" t="s">
        <v>11</v>
      </c>
      <c r="E2859" s="29">
        <v>1</v>
      </c>
      <c r="F2859" s="17"/>
    </row>
    <row r="2860" spans="1:9" ht="25.5" customHeight="1" x14ac:dyDescent="0.2">
      <c r="A2860" s="27">
        <v>2858</v>
      </c>
      <c r="B2860" s="29" t="s">
        <v>724</v>
      </c>
      <c r="C2860" s="29" t="str">
        <f ca="1">IFERROR(__xludf.DUMMYFUNCTION("GOOGLETRANSLATE(C2283,""en"",""hr"")"),"Zaustavna matica")</f>
        <v>Zaustavna matica</v>
      </c>
      <c r="D2860" s="28" t="s">
        <v>11</v>
      </c>
      <c r="E2860" s="29">
        <v>1</v>
      </c>
      <c r="F2860" s="17"/>
    </row>
    <row r="2861" spans="1:9" ht="25.5" customHeight="1" x14ac:dyDescent="0.2">
      <c r="A2861" s="27">
        <v>2859</v>
      </c>
      <c r="B2861" s="29" t="s">
        <v>727</v>
      </c>
      <c r="C2861" s="29" t="str">
        <f ca="1">IFERROR(__xludf.DUMMYFUNCTION("GOOGLETRANSLATE(C2286,""en"",""hr"")"),"Sigurnosna matica")</f>
        <v>Sigurnosna matica</v>
      </c>
      <c r="D2861" s="28" t="s">
        <v>11</v>
      </c>
      <c r="E2861" s="29">
        <v>1</v>
      </c>
      <c r="F2861" s="17"/>
    </row>
    <row r="2862" spans="1:9" ht="25.5" customHeight="1" x14ac:dyDescent="0.2">
      <c r="A2862" s="27">
        <v>2860</v>
      </c>
      <c r="B2862" s="29" t="s">
        <v>725</v>
      </c>
      <c r="C2862" s="29" t="str">
        <f ca="1">IFERROR(__xludf.DUMMYFUNCTION("GOOGLETRANSLATE(C2284,""en"",""hr"")"),"Orah")</f>
        <v>Orah</v>
      </c>
      <c r="D2862" s="28" t="s">
        <v>11</v>
      </c>
      <c r="E2862" s="29">
        <v>1</v>
      </c>
      <c r="F2862" s="17"/>
    </row>
    <row r="2863" spans="1:9" ht="25.5" customHeight="1" x14ac:dyDescent="0.2">
      <c r="A2863" s="27">
        <v>2861</v>
      </c>
      <c r="B2863" s="29" t="s">
        <v>732</v>
      </c>
      <c r="C2863" s="29" t="str">
        <f ca="1">IFERROR(__xludf.DUMMYFUNCTION("GOOGLETRANSLATE(C2299,""en"",""hr"")"),"Orah")</f>
        <v>Orah</v>
      </c>
      <c r="D2863" s="28" t="s">
        <v>11</v>
      </c>
      <c r="E2863" s="29">
        <v>1</v>
      </c>
      <c r="F2863" s="17"/>
    </row>
    <row r="2864" spans="1:9" ht="25.5" customHeight="1" x14ac:dyDescent="0.2">
      <c r="A2864" s="27">
        <v>2862</v>
      </c>
      <c r="B2864" s="29" t="s">
        <v>706</v>
      </c>
      <c r="C2864" s="29" t="str">
        <f ca="1">IFERROR(__xludf.DUMMYFUNCTION("GOOGLETRANSLATE(C2229,""en"",""hr"")"),"Orah")</f>
        <v>Orah</v>
      </c>
      <c r="D2864" s="28" t="s">
        <v>11</v>
      </c>
      <c r="E2864" s="29">
        <v>1</v>
      </c>
      <c r="F2864" s="17"/>
    </row>
    <row r="2865" spans="1:9" ht="25.5" customHeight="1" x14ac:dyDescent="0.2">
      <c r="A2865" s="27">
        <v>2863</v>
      </c>
      <c r="B2865" s="29" t="s">
        <v>709</v>
      </c>
      <c r="C2865" s="29" t="str">
        <f ca="1">IFERROR(__xludf.DUMMYFUNCTION("GOOGLETRANSLATE(C2241,""en"",""hr"")"),"Samosigurnosna matica")</f>
        <v>Samosigurnosna matica</v>
      </c>
      <c r="D2865" s="28" t="s">
        <v>11</v>
      </c>
      <c r="E2865" s="29">
        <v>1</v>
      </c>
      <c r="F2865" s="17"/>
    </row>
    <row r="2866" spans="1:9" ht="25.5" customHeight="1" x14ac:dyDescent="0.2">
      <c r="A2866" s="27">
        <v>2864</v>
      </c>
      <c r="B2866" s="29" t="s">
        <v>1447</v>
      </c>
      <c r="C2866" s="29" t="str">
        <f ca="1">IFERROR(__xludf.DUMMYFUNCTION("GOOGLETRANSLATE(C4721,""en"",""hr"")"),"Slijepa zakivna matica")</f>
        <v>Slijepa zakivna matica</v>
      </c>
      <c r="D2866" s="28" t="s">
        <v>11</v>
      </c>
      <c r="E2866" s="29">
        <v>1</v>
      </c>
      <c r="F2866" s="17"/>
    </row>
    <row r="2867" spans="1:9" ht="25.5" customHeight="1" x14ac:dyDescent="0.2">
      <c r="A2867" s="27">
        <v>2865</v>
      </c>
      <c r="B2867" s="29" t="s">
        <v>1446</v>
      </c>
      <c r="C2867" s="29" t="str">
        <f ca="1">IFERROR(__xludf.DUMMYFUNCTION("GOOGLETRANSLATE(C4714,""en"",""hr"")"),"Slijepa zakivna matica")</f>
        <v>Slijepa zakivna matica</v>
      </c>
      <c r="D2867" s="28" t="s">
        <v>11</v>
      </c>
      <c r="E2867" s="29">
        <v>1</v>
      </c>
      <c r="F2867" s="17"/>
    </row>
    <row r="2868" spans="1:9" ht="25.5" customHeight="1" x14ac:dyDescent="0.2">
      <c r="A2868" s="27">
        <v>2866</v>
      </c>
      <c r="B2868" s="29" t="s">
        <v>1580</v>
      </c>
      <c r="C2868" s="29" t="str">
        <f ca="1">IFERROR(__xludf.DUMMYFUNCTION("GOOGLETRANSLATE(C5351,""en"",""hr"")"),"Prekidač")</f>
        <v>Prekidač</v>
      </c>
      <c r="D2868" s="28" t="s">
        <v>11</v>
      </c>
      <c r="E2868" s="29">
        <v>1</v>
      </c>
      <c r="F2868" s="17"/>
    </row>
    <row r="2869" spans="1:9" ht="25.5" customHeight="1" x14ac:dyDescent="0.2">
      <c r="A2869" s="27">
        <v>2867</v>
      </c>
      <c r="B2869" s="29" t="s">
        <v>1579</v>
      </c>
      <c r="C2869" s="29" t="str">
        <f ca="1">IFERROR(__xludf.DUMMYFUNCTION("GOOGLETRANSLATE(C5350,""en"",""hr"")"),"Čahura")</f>
        <v>Čahura</v>
      </c>
      <c r="D2869" s="28" t="s">
        <v>11</v>
      </c>
      <c r="E2869" s="29">
        <v>1</v>
      </c>
      <c r="F2869" s="17"/>
      <c r="I2869" s="4" t="b">
        <f>INT(F2867*100)=(F2867*100)</f>
        <v>1</v>
      </c>
    </row>
    <row r="2870" spans="1:9" ht="25.5" customHeight="1" x14ac:dyDescent="0.2">
      <c r="A2870" s="27">
        <v>2868</v>
      </c>
      <c r="B2870" s="29" t="s">
        <v>196</v>
      </c>
      <c r="C2870" s="29" t="str">
        <f ca="1">IFERROR(__xludf.DUMMYFUNCTION("GOOGLETRANSLATE(C425,""en"",""hr"")"),"Disk za brtvljenje")</f>
        <v>Disk za brtvljenje</v>
      </c>
      <c r="D2870" s="28" t="s">
        <v>11</v>
      </c>
      <c r="E2870" s="29">
        <v>1</v>
      </c>
      <c r="F2870" s="17"/>
    </row>
    <row r="2871" spans="1:9" ht="25.5" customHeight="1" x14ac:dyDescent="0.2">
      <c r="A2871" s="27">
        <v>2869</v>
      </c>
      <c r="B2871" s="29" t="s">
        <v>1154</v>
      </c>
      <c r="C2871" s="29" t="str">
        <f ca="1">IFERROR(__xludf.DUMMYFUNCTION("GOOGLETRANSLATE(C3753,""en"",""hr"")"),"brtva")</f>
        <v>brtva</v>
      </c>
      <c r="D2871" s="28" t="s">
        <v>11</v>
      </c>
      <c r="E2871" s="29">
        <v>1</v>
      </c>
      <c r="F2871" s="17"/>
    </row>
    <row r="2872" spans="1:9" ht="25.5" customHeight="1" x14ac:dyDescent="0.2">
      <c r="A2872" s="27">
        <v>2870</v>
      </c>
      <c r="B2872" s="29" t="s">
        <v>1156</v>
      </c>
      <c r="C2872" s="29" t="str">
        <f ca="1">IFERROR(__xludf.DUMMYFUNCTION("GOOGLETRANSLATE(C3757,""en"",""hr"")"),"brtva")</f>
        <v>brtva</v>
      </c>
      <c r="D2872" s="28" t="s">
        <v>11</v>
      </c>
      <c r="E2872" s="29">
        <v>1</v>
      </c>
      <c r="F2872" s="17"/>
      <c r="I2872" s="4" t="b">
        <f>INT(F2870*100)=(F2870*100)</f>
        <v>1</v>
      </c>
    </row>
    <row r="2873" spans="1:9" ht="25.5" customHeight="1" x14ac:dyDescent="0.2">
      <c r="A2873" s="27">
        <v>2871</v>
      </c>
      <c r="B2873" s="29" t="s">
        <v>1162</v>
      </c>
      <c r="C2873" s="29" t="str">
        <f ca="1">IFERROR(__xludf.DUMMYFUNCTION("GOOGLETRANSLATE(C3769,""en"",""hr"")"),"brtva")</f>
        <v>brtva</v>
      </c>
      <c r="D2873" s="28" t="s">
        <v>11</v>
      </c>
      <c r="E2873" s="29">
        <v>1</v>
      </c>
      <c r="F2873" s="17"/>
    </row>
    <row r="2874" spans="1:9" ht="25.5" customHeight="1" x14ac:dyDescent="0.2">
      <c r="A2874" s="27">
        <v>2872</v>
      </c>
      <c r="B2874" s="29" t="s">
        <v>512</v>
      </c>
      <c r="C2874" s="29" t="str">
        <f ca="1">IFERROR(__xludf.DUMMYFUNCTION("GOOGLETRANSLATE(C1301,""en"",""hr"")"),"brtva")</f>
        <v>brtva</v>
      </c>
      <c r="D2874" s="28" t="s">
        <v>11</v>
      </c>
      <c r="E2874" s="29">
        <v>1</v>
      </c>
      <c r="F2874" s="17"/>
    </row>
    <row r="2875" spans="1:9" ht="25.5" customHeight="1" x14ac:dyDescent="0.2">
      <c r="A2875" s="27">
        <v>2873</v>
      </c>
      <c r="B2875" s="29" t="s">
        <v>1862</v>
      </c>
      <c r="C2875" s="29" t="str">
        <f ca="1">IFERROR(__xludf.DUMMYFUNCTION("GOOGLETRANSLATE(C6551,""en"",""hr"")"),"Podloška za zaključavanje")</f>
        <v>Podloška za zaključavanje</v>
      </c>
      <c r="D2875" s="28" t="s">
        <v>11</v>
      </c>
      <c r="E2875" s="29">
        <v>1</v>
      </c>
      <c r="F2875" s="17"/>
    </row>
    <row r="2876" spans="1:9" ht="25.5" customHeight="1" x14ac:dyDescent="0.2">
      <c r="A2876" s="27">
        <v>2874</v>
      </c>
      <c r="B2876" s="29" t="s">
        <v>717</v>
      </c>
      <c r="C2876" s="29" t="str">
        <f ca="1">IFERROR(__xludf.DUMMYFUNCTION("GOOGLETRANSLATE(C2268,""en"",""hr"")"),"Perilica")</f>
        <v>Perilica</v>
      </c>
      <c r="D2876" s="28" t="s">
        <v>11</v>
      </c>
      <c r="E2876" s="29">
        <v>1</v>
      </c>
      <c r="F2876" s="17"/>
      <c r="I2876" s="4" t="b">
        <f>INT(F2874*100)=(F2874*100)</f>
        <v>1</v>
      </c>
    </row>
    <row r="2877" spans="1:9" ht="25.5" customHeight="1" x14ac:dyDescent="0.2">
      <c r="A2877" s="27">
        <v>2875</v>
      </c>
      <c r="B2877" s="29" t="s">
        <v>266</v>
      </c>
      <c r="C2877" s="29" t="str">
        <f ca="1">IFERROR(__xludf.DUMMYFUNCTION("GOOGLETRANSLATE(C580,""en"",""hr"")"),"Stezaljka za crijevo")</f>
        <v>Stezaljka za crijevo</v>
      </c>
      <c r="D2877" s="28" t="s">
        <v>11</v>
      </c>
      <c r="E2877" s="29">
        <v>1</v>
      </c>
      <c r="F2877" s="17"/>
    </row>
    <row r="2878" spans="1:9" ht="25.5" customHeight="1" x14ac:dyDescent="0.2">
      <c r="A2878" s="27">
        <v>2876</v>
      </c>
      <c r="B2878" s="29" t="s">
        <v>1206</v>
      </c>
      <c r="C2878" s="29" t="str">
        <f ca="1">IFERROR(__xludf.DUMMYFUNCTION("GOOGLETRANSLATE(C3824,""en"",""hr"")"),"Stezaljka za crijevo")</f>
        <v>Stezaljka za crijevo</v>
      </c>
      <c r="D2878" s="28" t="s">
        <v>11</v>
      </c>
      <c r="E2878" s="29">
        <v>1</v>
      </c>
      <c r="F2878" s="17"/>
    </row>
    <row r="2879" spans="1:9" ht="25.5" customHeight="1" x14ac:dyDescent="0.2">
      <c r="A2879" s="27">
        <v>2877</v>
      </c>
      <c r="B2879" s="29" t="s">
        <v>1140</v>
      </c>
      <c r="C2879" s="29" t="str">
        <f ca="1">IFERROR(__xludf.DUMMYFUNCTION("GOOGLETRANSLATE(C3702,""en"",""hr"")"),"Stezaljka za crijevo")</f>
        <v>Stezaljka za crijevo</v>
      </c>
      <c r="D2879" s="28" t="s">
        <v>11</v>
      </c>
      <c r="E2879" s="29">
        <v>1</v>
      </c>
      <c r="F2879" s="17"/>
    </row>
    <row r="2880" spans="1:9" ht="25.5" customHeight="1" x14ac:dyDescent="0.2">
      <c r="A2880" s="27">
        <v>2878</v>
      </c>
      <c r="B2880" s="29" t="s">
        <v>1012</v>
      </c>
      <c r="C2880" s="29" t="str">
        <f ca="1">IFERROR(__xludf.DUMMYFUNCTION("GOOGLETRANSLATE(C3280,""en"",""hr"")"),"Stezaljka za crijevo")</f>
        <v>Stezaljka za crijevo</v>
      </c>
      <c r="D2880" s="28" t="s">
        <v>11</v>
      </c>
      <c r="E2880" s="29">
        <v>1</v>
      </c>
      <c r="F2880" s="17"/>
    </row>
    <row r="2881" spans="1:9" ht="25.5" customHeight="1" x14ac:dyDescent="0.2">
      <c r="A2881" s="27">
        <v>2879</v>
      </c>
      <c r="B2881" s="29" t="s">
        <v>419</v>
      </c>
      <c r="C2881" s="29" t="str">
        <f ca="1">IFERROR(__xludf.DUMMYFUNCTION("GOOGLETRANSLATE(C991,""en"",""hr"")"),"Stezaljka za cijevi")</f>
        <v>Stezaljka za cijevi</v>
      </c>
      <c r="D2881" s="28" t="s">
        <v>11</v>
      </c>
      <c r="E2881" s="29">
        <v>1</v>
      </c>
      <c r="F2881" s="17"/>
    </row>
    <row r="2882" spans="1:9" ht="25.5" customHeight="1" x14ac:dyDescent="0.2">
      <c r="A2882" s="27">
        <v>2880</v>
      </c>
      <c r="B2882" s="29" t="s">
        <v>497</v>
      </c>
      <c r="C2882" s="29" t="str">
        <f ca="1">IFERROR(__xludf.DUMMYFUNCTION("GOOGLETRANSLATE(C1232,""en"",""hr"")"),"Stezaljka za crijevo")</f>
        <v>Stezaljka za crijevo</v>
      </c>
      <c r="D2882" s="28" t="s">
        <v>11</v>
      </c>
      <c r="E2882" s="29">
        <v>1</v>
      </c>
      <c r="F2882" s="17"/>
    </row>
    <row r="2883" spans="1:9" ht="25.5" customHeight="1" x14ac:dyDescent="0.2">
      <c r="A2883" s="27">
        <v>2881</v>
      </c>
      <c r="B2883" s="29" t="s">
        <v>1467</v>
      </c>
      <c r="C2883" s="29" t="str">
        <f ca="1">IFERROR(__xludf.DUMMYFUNCTION("GOOGLETRANSLATE(C4892,""en"",""hr"")"),"Isječak")</f>
        <v>Isječak</v>
      </c>
      <c r="D2883" s="28" t="s">
        <v>11</v>
      </c>
      <c r="E2883" s="29">
        <v>1</v>
      </c>
      <c r="F2883" s="17"/>
    </row>
    <row r="2884" spans="1:9" ht="25.5" customHeight="1" x14ac:dyDescent="0.2">
      <c r="A2884" s="27">
        <v>2882</v>
      </c>
      <c r="B2884" s="29" t="s">
        <v>428</v>
      </c>
      <c r="C2884" s="29" t="str">
        <f ca="1">IFERROR(__xludf.DUMMYFUNCTION("GOOGLETRANSLATE(C1016,""en"",""hr"")"),"Stezaljka za crijevo")</f>
        <v>Stezaljka za crijevo</v>
      </c>
      <c r="D2884" s="28" t="s">
        <v>11</v>
      </c>
      <c r="E2884" s="29">
        <v>1</v>
      </c>
      <c r="F2884" s="17"/>
    </row>
    <row r="2885" spans="1:9" ht="25.5" customHeight="1" x14ac:dyDescent="0.2">
      <c r="A2885" s="27">
        <v>2883</v>
      </c>
      <c r="B2885" s="29" t="s">
        <v>429</v>
      </c>
      <c r="C2885" s="29" t="str">
        <f ca="1">IFERROR(__xludf.DUMMYFUNCTION("GOOGLETRANSLATE(C1017,""en"",""hr"")"),"Stezaljka za crijevo")</f>
        <v>Stezaljka za crijevo</v>
      </c>
      <c r="D2885" s="28" t="s">
        <v>11</v>
      </c>
      <c r="E2885" s="29">
        <v>1</v>
      </c>
      <c r="F2885" s="17"/>
    </row>
    <row r="2886" spans="1:9" ht="25.5" customHeight="1" x14ac:dyDescent="0.2">
      <c r="A2886" s="27">
        <v>2884</v>
      </c>
      <c r="B2886" s="29" t="s">
        <v>1087</v>
      </c>
      <c r="C2886" s="29" t="str">
        <f ca="1">IFERROR(__xludf.DUMMYFUNCTION("GOOGLETRANSLATE(C3507,""en"",""hr"")"),"Stezaljka za crijevo")</f>
        <v>Stezaljka za crijevo</v>
      </c>
      <c r="D2886" s="28" t="s">
        <v>11</v>
      </c>
      <c r="E2886" s="29">
        <v>1</v>
      </c>
      <c r="F2886" s="17"/>
    </row>
    <row r="2887" spans="1:9" ht="25.5" customHeight="1" x14ac:dyDescent="0.2">
      <c r="A2887" s="27">
        <v>2885</v>
      </c>
      <c r="B2887" s="29" t="s">
        <v>1254</v>
      </c>
      <c r="C2887" s="29" t="str">
        <f ca="1">IFERROR(__xludf.DUMMYFUNCTION("GOOGLETRANSLATE(C3966,""en"",""hr"")"),"Stezaljka")</f>
        <v>Stezaljka</v>
      </c>
      <c r="D2887" s="28" t="s">
        <v>11</v>
      </c>
      <c r="E2887" s="29">
        <v>1</v>
      </c>
      <c r="F2887" s="17"/>
    </row>
    <row r="2888" spans="1:9" ht="25.5" customHeight="1" x14ac:dyDescent="0.2">
      <c r="A2888" s="27">
        <v>2886</v>
      </c>
      <c r="B2888" s="29" t="s">
        <v>248</v>
      </c>
      <c r="C2888" s="29" t="str">
        <f ca="1">IFERROR(__xludf.DUMMYFUNCTION("GOOGLETRANSLATE(C524,""en"",""hr"")"),"Isječak")</f>
        <v>Isječak</v>
      </c>
      <c r="D2888" s="28" t="s">
        <v>11</v>
      </c>
      <c r="E2888" s="29">
        <v>1</v>
      </c>
      <c r="F2888" s="17"/>
    </row>
    <row r="2889" spans="1:9" ht="25.5" customHeight="1" x14ac:dyDescent="0.2">
      <c r="A2889" s="27">
        <v>2887</v>
      </c>
      <c r="B2889" s="29" t="s">
        <v>195</v>
      </c>
      <c r="C2889" s="29" t="str">
        <f ca="1">IFERROR(__xludf.DUMMYFUNCTION("GOOGLETRANSLATE(C423,""en"",""hr"")"),"Isječak")</f>
        <v>Isječak</v>
      </c>
      <c r="D2889" s="28" t="s">
        <v>11</v>
      </c>
      <c r="E2889" s="29">
        <v>1</v>
      </c>
      <c r="F2889" s="17"/>
    </row>
    <row r="2890" spans="1:9" ht="25.5" customHeight="1" x14ac:dyDescent="0.2">
      <c r="A2890" s="27">
        <v>2888</v>
      </c>
      <c r="B2890" s="29" t="s">
        <v>893</v>
      </c>
      <c r="C2890" s="29" t="str">
        <f ca="1">IFERROR(__xludf.DUMMYFUNCTION("GOOGLETRANSLATE(C2649,""en"",""hr"")"),"Isječak")</f>
        <v>Isječak</v>
      </c>
      <c r="D2890" s="28" t="s">
        <v>11</v>
      </c>
      <c r="E2890" s="29">
        <v>1</v>
      </c>
      <c r="F2890" s="17"/>
    </row>
    <row r="2891" spans="1:9" ht="25.5" customHeight="1" x14ac:dyDescent="0.2">
      <c r="A2891" s="27">
        <v>2889</v>
      </c>
      <c r="B2891" s="29" t="s">
        <v>1134</v>
      </c>
      <c r="C2891" s="29" t="str">
        <f ca="1">IFERROR(__xludf.DUMMYFUNCTION("GOOGLETRANSLATE(C3690,""en"",""hr"")"),"Isječak")</f>
        <v>Isječak</v>
      </c>
      <c r="D2891" s="28" t="s">
        <v>11</v>
      </c>
      <c r="E2891" s="29">
        <v>1</v>
      </c>
      <c r="F2891" s="17"/>
    </row>
    <row r="2892" spans="1:9" ht="25.5" customHeight="1" x14ac:dyDescent="0.2">
      <c r="A2892" s="27">
        <v>2890</v>
      </c>
      <c r="B2892" s="29" t="s">
        <v>432</v>
      </c>
      <c r="C2892" s="29" t="str">
        <f ca="1">IFERROR(__xludf.DUMMYFUNCTION("GOOGLETRANSLATE(C1029,""en"",""hr"")"),"Stezaljka za crijevo")</f>
        <v>Stezaljka za crijevo</v>
      </c>
      <c r="D2892" s="28" t="s">
        <v>11</v>
      </c>
      <c r="E2892" s="29">
        <v>1</v>
      </c>
      <c r="F2892" s="17"/>
    </row>
    <row r="2893" spans="1:9" ht="25.5" customHeight="1" x14ac:dyDescent="0.2">
      <c r="A2893" s="27">
        <v>2891</v>
      </c>
      <c r="B2893" s="29" t="s">
        <v>1664</v>
      </c>
      <c r="C2893" s="29" t="str">
        <f ca="1">IFERROR(__xludf.DUMMYFUNCTION("GOOGLETRANSLATE(C5707,""en"",""hr"")"),"Stezaljka za crijevo")</f>
        <v>Stezaljka za crijevo</v>
      </c>
      <c r="D2893" s="28" t="s">
        <v>11</v>
      </c>
      <c r="E2893" s="29">
        <v>1</v>
      </c>
      <c r="F2893" s="17"/>
    </row>
    <row r="2894" spans="1:9" ht="25.5" customHeight="1" x14ac:dyDescent="0.2">
      <c r="A2894" s="27">
        <v>2892</v>
      </c>
      <c r="B2894" s="29" t="s">
        <v>541</v>
      </c>
      <c r="C2894" s="29" t="str">
        <f ca="1">IFERROR(__xludf.DUMMYFUNCTION("GOOGLETRANSLATE(C1423,""en"",""hr"")"),"Isječak")</f>
        <v>Isječak</v>
      </c>
      <c r="D2894" s="28" t="s">
        <v>11</v>
      </c>
      <c r="E2894" s="29">
        <v>1</v>
      </c>
      <c r="F2894" s="17"/>
      <c r="I2894" s="4" t="b">
        <f>INT(F2892*100)=(F2892*100)</f>
        <v>1</v>
      </c>
    </row>
    <row r="2895" spans="1:9" ht="25.5" customHeight="1" x14ac:dyDescent="0.2">
      <c r="A2895" s="27">
        <v>2893</v>
      </c>
      <c r="B2895" s="29" t="s">
        <v>509</v>
      </c>
      <c r="C2895" s="29" t="str">
        <f ca="1">IFERROR(__xludf.DUMMYFUNCTION("GOOGLETRANSLATE(C1298,""en"",""hr"")"),"Stezaljka za crijevo")</f>
        <v>Stezaljka za crijevo</v>
      </c>
      <c r="D2895" s="28" t="s">
        <v>11</v>
      </c>
      <c r="E2895" s="29">
        <v>1</v>
      </c>
      <c r="F2895" s="17"/>
    </row>
    <row r="2896" spans="1:9" ht="25.5" customHeight="1" x14ac:dyDescent="0.2">
      <c r="A2896" s="27">
        <v>2894</v>
      </c>
      <c r="B2896" s="29" t="s">
        <v>520</v>
      </c>
      <c r="C2896" s="29" t="str">
        <f ca="1">IFERROR(__xludf.DUMMYFUNCTION("GOOGLETRANSLATE(C1345,""en"",""hr"")"),"Stezaljka za cijevi")</f>
        <v>Stezaljka za cijevi</v>
      </c>
      <c r="D2896" s="28" t="s">
        <v>11</v>
      </c>
      <c r="E2896" s="29">
        <v>1</v>
      </c>
      <c r="F2896" s="17"/>
    </row>
    <row r="2897" spans="1:9" ht="25.5" customHeight="1" x14ac:dyDescent="0.2">
      <c r="A2897" s="27">
        <v>2895</v>
      </c>
      <c r="B2897" s="29" t="s">
        <v>1410</v>
      </c>
      <c r="C2897" s="29" t="str">
        <f ca="1">IFERROR(__xludf.DUMMYFUNCTION("GOOGLETRANSLATE(C4579,""en"",""hr"")"),"Gornja stezna ploča")</f>
        <v>Gornja stezna ploča</v>
      </c>
      <c r="D2897" s="28" t="s">
        <v>11</v>
      </c>
      <c r="E2897" s="29">
        <v>1</v>
      </c>
      <c r="F2897" s="17"/>
      <c r="I2897" s="4" t="b">
        <f>INT(F2895*100)=(F2895*100)</f>
        <v>1</v>
      </c>
    </row>
    <row r="2898" spans="1:9" ht="25.5" customHeight="1" x14ac:dyDescent="0.2">
      <c r="A2898" s="27">
        <v>2896</v>
      </c>
      <c r="B2898" s="29" t="s">
        <v>1722</v>
      </c>
      <c r="C2898" s="29" t="str">
        <f ca="1">IFERROR(__xludf.DUMMYFUNCTION("GOOGLETRANSLATE(C5984,""en"",""hr"")"),"Kontra ploča")</f>
        <v>Kontra ploča</v>
      </c>
      <c r="D2898" s="28" t="s">
        <v>11</v>
      </c>
      <c r="E2898" s="29">
        <v>1</v>
      </c>
      <c r="F2898" s="17"/>
    </row>
    <row r="2899" spans="1:9" ht="25.5" customHeight="1" x14ac:dyDescent="0.2">
      <c r="A2899" s="27">
        <v>2897</v>
      </c>
      <c r="B2899" s="29" t="s">
        <v>1707</v>
      </c>
      <c r="C2899" s="29" t="str">
        <f ca="1">IFERROR(__xludf.DUMMYFUNCTION("GOOGLETRANSLATE(C5931,""en"",""hr"")"),"Kontra ploča")</f>
        <v>Kontra ploča</v>
      </c>
      <c r="D2899" s="28" t="s">
        <v>11</v>
      </c>
      <c r="E2899" s="29">
        <v>1</v>
      </c>
      <c r="F2899" s="17"/>
    </row>
    <row r="2900" spans="1:9" ht="25.5" customHeight="1" x14ac:dyDescent="0.2">
      <c r="A2900" s="27">
        <v>2898</v>
      </c>
      <c r="B2900" s="29" t="s">
        <v>261</v>
      </c>
      <c r="C2900" s="29" t="str">
        <f ca="1">IFERROR(__xludf.DUMMYFUNCTION("GOOGLETRANSLATE(C570,""en"",""hr"")"),"Šuplji vijak")</f>
        <v>Šuplji vijak</v>
      </c>
      <c r="D2900" s="28" t="s">
        <v>11</v>
      </c>
      <c r="E2900" s="29">
        <v>1</v>
      </c>
      <c r="F2900" s="17"/>
    </row>
    <row r="2901" spans="1:9" ht="25.5" customHeight="1" x14ac:dyDescent="0.2">
      <c r="A2901" s="27">
        <v>2899</v>
      </c>
      <c r="B2901" s="29" t="s">
        <v>647</v>
      </c>
      <c r="C2901" s="29" t="str">
        <f ca="1">IFERROR(__xludf.DUMMYFUNCTION("GOOGLETRANSLATE(C2005,""en"",""hr"")"),"Utikač - prsten G1/4"" BSP")</f>
        <v>Utikač - prsten G1/4" BSP</v>
      </c>
      <c r="D2901" s="28" t="s">
        <v>11</v>
      </c>
      <c r="E2901" s="29">
        <v>1</v>
      </c>
      <c r="F2901" s="17"/>
      <c r="I2901" s="4" t="b">
        <f>INT(F2899*100)=(F2899*100)</f>
        <v>1</v>
      </c>
    </row>
    <row r="2902" spans="1:9" ht="25.5" customHeight="1" x14ac:dyDescent="0.2">
      <c r="A2902" s="27">
        <v>2900</v>
      </c>
      <c r="B2902" s="29" t="s">
        <v>797</v>
      </c>
      <c r="C2902" s="29" t="str">
        <f ca="1">IFERROR(__xludf.DUMMYFUNCTION("GOOGLETRANSLATE(C2431,""en"",""hr"")"),"Utikač GN 741 - G 1/2")</f>
        <v>Utikač GN 741 - G 1/2</v>
      </c>
      <c r="D2902" s="28" t="s">
        <v>11</v>
      </c>
      <c r="E2902" s="29">
        <v>1</v>
      </c>
      <c r="F2902" s="17"/>
    </row>
    <row r="2903" spans="1:9" ht="25.5" customHeight="1" x14ac:dyDescent="0.2">
      <c r="A2903" s="27">
        <v>2901</v>
      </c>
      <c r="B2903" s="29" t="s">
        <v>1684</v>
      </c>
      <c r="C2903" s="29" t="str">
        <f ca="1">IFERROR(__xludf.DUMMYFUNCTION("GOOGLETRANSLATE(C5833,""en"",""hr"")"),"Razdvojena igla")</f>
        <v>Razdvojena igla</v>
      </c>
      <c r="D2903" s="28" t="s">
        <v>11</v>
      </c>
      <c r="E2903" s="29">
        <v>1</v>
      </c>
      <c r="F2903" s="17"/>
    </row>
    <row r="2904" spans="1:9" ht="25.5" customHeight="1" x14ac:dyDescent="0.2">
      <c r="A2904" s="27">
        <v>2902</v>
      </c>
      <c r="B2904" s="29" t="s">
        <v>1211</v>
      </c>
      <c r="C2904" s="29" t="str">
        <f ca="1">IFERROR(__xludf.DUMMYFUNCTION("GOOGLETRANSLATE(C3836,""en"",""hr"")"),"Vijak")</f>
        <v>Vijak</v>
      </c>
      <c r="D2904" s="28" t="s">
        <v>11</v>
      </c>
      <c r="E2904" s="29">
        <v>1</v>
      </c>
      <c r="F2904" s="17"/>
    </row>
    <row r="2905" spans="1:9" ht="25.5" customHeight="1" x14ac:dyDescent="0.2">
      <c r="A2905" s="27">
        <v>2903</v>
      </c>
      <c r="B2905" s="29" t="s">
        <v>890</v>
      </c>
      <c r="C2905" s="29" t="str">
        <f ca="1">IFERROR(__xludf.DUMMYFUNCTION("GOOGLETRANSLATE(C2603,""en"",""hr"")"),"Vijak")</f>
        <v>Vijak</v>
      </c>
      <c r="D2905" s="28" t="s">
        <v>11</v>
      </c>
      <c r="E2905" s="29">
        <v>1</v>
      </c>
      <c r="F2905" s="17"/>
    </row>
    <row r="2906" spans="1:9" ht="25.5" customHeight="1" x14ac:dyDescent="0.2">
      <c r="A2906" s="27">
        <v>2904</v>
      </c>
      <c r="B2906" s="29" t="s">
        <v>1045</v>
      </c>
      <c r="C2906" s="29" t="str">
        <f ca="1">IFERROR(__xludf.DUMMYFUNCTION("GOOGLETRANSLATE(C3428,""en"",""hr"")"),"Vijak")</f>
        <v>Vijak</v>
      </c>
      <c r="D2906" s="28" t="s">
        <v>11</v>
      </c>
      <c r="E2906" s="29">
        <v>1</v>
      </c>
      <c r="F2906" s="17"/>
    </row>
    <row r="2907" spans="1:9" ht="25.5" customHeight="1" x14ac:dyDescent="0.2">
      <c r="A2907" s="27">
        <v>2905</v>
      </c>
      <c r="B2907" s="29" t="s">
        <v>989</v>
      </c>
      <c r="C2907" s="29" t="str">
        <f ca="1">IFERROR(__xludf.DUMMYFUNCTION("GOOGLETRANSLATE(C3168,""en"",""hr"")"),"Vijak")</f>
        <v>Vijak</v>
      </c>
      <c r="D2907" s="28" t="s">
        <v>11</v>
      </c>
      <c r="E2907" s="29">
        <v>1</v>
      </c>
      <c r="F2907" s="17"/>
    </row>
    <row r="2908" spans="1:9" ht="25.5" customHeight="1" x14ac:dyDescent="0.2">
      <c r="A2908" s="27">
        <v>2906</v>
      </c>
      <c r="B2908" s="29" t="s">
        <v>1011</v>
      </c>
      <c r="C2908" s="29" t="str">
        <f ca="1">IFERROR(__xludf.DUMMYFUNCTION("GOOGLETRANSLATE(C3278,""en"",""hr"")"),"Vijak")</f>
        <v>Vijak</v>
      </c>
      <c r="D2908" s="28" t="s">
        <v>11</v>
      </c>
      <c r="E2908" s="29">
        <v>1</v>
      </c>
      <c r="F2908" s="17"/>
    </row>
    <row r="2909" spans="1:9" ht="25.5" customHeight="1" x14ac:dyDescent="0.2">
      <c r="A2909" s="27">
        <v>2907</v>
      </c>
      <c r="B2909" s="29" t="s">
        <v>333</v>
      </c>
      <c r="C2909" s="29" t="str">
        <f ca="1">IFERROR(__xludf.DUMMYFUNCTION("GOOGLETRANSLATE(C750,""en"",""hr"")"),"Vijak")</f>
        <v>Vijak</v>
      </c>
      <c r="D2909" s="28" t="s">
        <v>11</v>
      </c>
      <c r="E2909" s="29">
        <v>1</v>
      </c>
      <c r="F2909" s="17"/>
    </row>
    <row r="2910" spans="1:9" ht="25.5" customHeight="1" x14ac:dyDescent="0.2">
      <c r="A2910" s="27">
        <v>2908</v>
      </c>
      <c r="B2910" s="29" t="s">
        <v>158</v>
      </c>
      <c r="C2910" s="29" t="str">
        <f ca="1">IFERROR(__xludf.DUMMYFUNCTION("GOOGLETRANSLATE(C306,""en"",""hr"")"),"Vijak")</f>
        <v>Vijak</v>
      </c>
      <c r="D2910" s="28" t="s">
        <v>11</v>
      </c>
      <c r="E2910" s="29">
        <v>1</v>
      </c>
      <c r="F2910" s="17"/>
    </row>
    <row r="2911" spans="1:9" ht="25.5" customHeight="1" x14ac:dyDescent="0.2">
      <c r="A2911" s="27">
        <v>2909</v>
      </c>
      <c r="B2911" s="29" t="s">
        <v>396</v>
      </c>
      <c r="C2911" s="29" t="str">
        <f ca="1">IFERROR(__xludf.DUMMYFUNCTION("GOOGLETRANSLATE(C936,""en"",""hr"")"),"Vijak")</f>
        <v>Vijak</v>
      </c>
      <c r="D2911" s="28" t="s">
        <v>11</v>
      </c>
      <c r="E2911" s="29">
        <v>1</v>
      </c>
      <c r="F2911" s="17"/>
    </row>
    <row r="2912" spans="1:9" ht="25.5" customHeight="1" x14ac:dyDescent="0.2">
      <c r="A2912" s="27">
        <v>2910</v>
      </c>
      <c r="B2912" s="29" t="s">
        <v>404</v>
      </c>
      <c r="C2912" s="29" t="str">
        <f ca="1">IFERROR(__xludf.DUMMYFUNCTION("GOOGLETRANSLATE(C948,""en"",""hr"")"),"Vijak")</f>
        <v>Vijak</v>
      </c>
      <c r="D2912" s="28" t="s">
        <v>11</v>
      </c>
      <c r="E2912" s="29">
        <v>1</v>
      </c>
      <c r="F2912" s="17"/>
    </row>
    <row r="2913" spans="1:9" ht="25.5" customHeight="1" x14ac:dyDescent="0.2">
      <c r="A2913" s="27">
        <v>2911</v>
      </c>
      <c r="B2913" s="29" t="s">
        <v>931</v>
      </c>
      <c r="C2913" s="29" t="str">
        <f ca="1">IFERROR(__xludf.DUMMYFUNCTION("GOOGLETRANSLATE(C2839,""en"",""hr"")"),"Vijak")</f>
        <v>Vijak</v>
      </c>
      <c r="D2913" s="28" t="s">
        <v>11</v>
      </c>
      <c r="E2913" s="29">
        <v>1</v>
      </c>
      <c r="F2913" s="17"/>
    </row>
    <row r="2914" spans="1:9" ht="25.5" customHeight="1" x14ac:dyDescent="0.2">
      <c r="A2914" s="27">
        <v>2912</v>
      </c>
      <c r="B2914" s="29" t="s">
        <v>1391</v>
      </c>
      <c r="C2914" s="29" t="str">
        <f ca="1">IFERROR(__xludf.DUMMYFUNCTION("GOOGLETRANSLATE(C4444,""en"",""hr"")"),"Vijak")</f>
        <v>Vijak</v>
      </c>
      <c r="D2914" s="28" t="s">
        <v>11</v>
      </c>
      <c r="E2914" s="29">
        <v>1</v>
      </c>
      <c r="F2914" s="17"/>
    </row>
    <row r="2915" spans="1:9" ht="25.5" customHeight="1" x14ac:dyDescent="0.2">
      <c r="A2915" s="27">
        <v>2913</v>
      </c>
      <c r="B2915" s="29" t="s">
        <v>1639</v>
      </c>
      <c r="C2915" s="29" t="str">
        <f ca="1">IFERROR(__xludf.DUMMYFUNCTION("GOOGLETRANSLATE(C5520,""en"",""hr"")"),"imbus vijak")</f>
        <v>imbus vijak</v>
      </c>
      <c r="D2915" s="28" t="s">
        <v>11</v>
      </c>
      <c r="E2915" s="29">
        <v>1</v>
      </c>
      <c r="F2915" s="17"/>
    </row>
    <row r="2916" spans="1:9" ht="25.5" customHeight="1" x14ac:dyDescent="0.2">
      <c r="A2916" s="27">
        <v>2914</v>
      </c>
      <c r="B2916" s="29" t="s">
        <v>552</v>
      </c>
      <c r="C2916" s="29" t="str">
        <f ca="1">IFERROR(__xludf.DUMMYFUNCTION("GOOGLETRANSLATE(C1494,""en"",""hr"")"),"Vijak s ravnom glavom")</f>
        <v>Vijak s ravnom glavom</v>
      </c>
      <c r="D2916" s="28" t="s">
        <v>11</v>
      </c>
      <c r="E2916" s="29">
        <v>1</v>
      </c>
      <c r="F2916" s="17"/>
    </row>
    <row r="2917" spans="1:9" ht="25.5" customHeight="1" x14ac:dyDescent="0.2">
      <c r="A2917" s="27">
        <v>2915</v>
      </c>
      <c r="B2917" s="29" t="s">
        <v>590</v>
      </c>
      <c r="C2917" s="29" t="str">
        <f ca="1">IFERROR(__xludf.DUMMYFUNCTION("GOOGLETRANSLATE(C1720,""en"",""hr"")"),"imbus vijak")</f>
        <v>imbus vijak</v>
      </c>
      <c r="D2917" s="28" t="s">
        <v>11</v>
      </c>
      <c r="E2917" s="29">
        <v>1</v>
      </c>
      <c r="F2917" s="17"/>
    </row>
    <row r="2918" spans="1:9" ht="25.5" customHeight="1" x14ac:dyDescent="0.2">
      <c r="A2918" s="27">
        <v>2916</v>
      </c>
      <c r="B2918" s="29" t="s">
        <v>1460</v>
      </c>
      <c r="C2918" s="29" t="str">
        <f ca="1">IFERROR(__xludf.DUMMYFUNCTION("GOOGLETRANSLATE(C4868,""en"",""hr"")"),"Upušteni vijak")</f>
        <v>Upušteni vijak</v>
      </c>
      <c r="D2918" s="28" t="s">
        <v>11</v>
      </c>
      <c r="E2918" s="29">
        <v>1</v>
      </c>
      <c r="F2918" s="17"/>
    </row>
    <row r="2919" spans="1:9" ht="25.5" customHeight="1" x14ac:dyDescent="0.2">
      <c r="A2919" s="27">
        <v>2917</v>
      </c>
      <c r="B2919" s="29" t="s">
        <v>225</v>
      </c>
      <c r="C2919" s="29" t="str">
        <f ca="1">IFERROR(__xludf.DUMMYFUNCTION("GOOGLETRANSLATE(C475,""en"",""hr"")"),"Orah")</f>
        <v>Orah</v>
      </c>
      <c r="D2919" s="28" t="s">
        <v>11</v>
      </c>
      <c r="E2919" s="29">
        <v>1</v>
      </c>
      <c r="F2919" s="17"/>
    </row>
    <row r="2920" spans="1:9" ht="25.5" customHeight="1" x14ac:dyDescent="0.2">
      <c r="A2920" s="27">
        <v>2918</v>
      </c>
      <c r="B2920" s="29" t="s">
        <v>1386</v>
      </c>
      <c r="C2920" s="29" t="str">
        <f ca="1">IFERROR(__xludf.DUMMYFUNCTION("GOOGLETRANSLATE(C4423,""en"",""hr"")"),"Samosigurnosna matica")</f>
        <v>Samosigurnosna matica</v>
      </c>
      <c r="D2920" s="28" t="s">
        <v>11</v>
      </c>
      <c r="E2920" s="29">
        <v>1</v>
      </c>
      <c r="F2920" s="17"/>
      <c r="I2920" s="4" t="b">
        <f>INT(F2918*100)=(F2918*100)</f>
        <v>1</v>
      </c>
    </row>
    <row r="2921" spans="1:9" ht="25.5" customHeight="1" x14ac:dyDescent="0.2">
      <c r="A2921" s="27">
        <v>2919</v>
      </c>
      <c r="B2921" s="29" t="s">
        <v>1093</v>
      </c>
      <c r="C2921" s="29" t="str">
        <f ca="1">IFERROR(__xludf.DUMMYFUNCTION("GOOGLETRANSLATE(C3535,""en"",""hr"")"),"Perilica")</f>
        <v>Perilica</v>
      </c>
      <c r="D2921" s="28" t="s">
        <v>11</v>
      </c>
      <c r="E2921" s="29">
        <v>1</v>
      </c>
      <c r="F2921" s="17"/>
    </row>
    <row r="2922" spans="1:9" ht="25.5" customHeight="1" x14ac:dyDescent="0.2">
      <c r="A2922" s="27">
        <v>2920</v>
      </c>
      <c r="B2922" s="29" t="s">
        <v>323</v>
      </c>
      <c r="C2922" s="29" t="str">
        <f ca="1">IFERROR(__xludf.DUMMYFUNCTION("GOOGLETRANSLATE(C732,""en"",""hr"")"),"Opružni vijak")</f>
        <v>Opružni vijak</v>
      </c>
      <c r="D2922" s="28" t="s">
        <v>11</v>
      </c>
      <c r="E2922" s="29">
        <v>1</v>
      </c>
      <c r="F2922" s="17"/>
    </row>
    <row r="2923" spans="1:9" ht="25.5" customHeight="1" x14ac:dyDescent="0.2">
      <c r="A2923" s="27">
        <v>2921</v>
      </c>
      <c r="B2923" s="29" t="s">
        <v>1237</v>
      </c>
      <c r="C2923" s="29" t="str">
        <f ca="1">IFERROR(__xludf.DUMMYFUNCTION("GOOGLETRANSLATE(C3928,""en"",""hr"")"),"brtva")</f>
        <v>brtva</v>
      </c>
      <c r="D2923" s="28" t="s">
        <v>11</v>
      </c>
      <c r="E2923" s="29">
        <v>1</v>
      </c>
      <c r="F2923" s="17"/>
      <c r="I2923" s="4" t="b">
        <f>INT(F2921*100)=(F2921*100)</f>
        <v>1</v>
      </c>
    </row>
    <row r="2924" spans="1:9" ht="25.5" customHeight="1" x14ac:dyDescent="0.2">
      <c r="A2924" s="27">
        <v>2922</v>
      </c>
      <c r="B2924" s="29" t="s">
        <v>519</v>
      </c>
      <c r="C2924" s="29" t="str">
        <f ca="1">IFERROR(__xludf.DUMMYFUNCTION("GOOGLETRANSLATE(C1342,""en"",""hr"")"),"Stezaljka za cijevi")</f>
        <v>Stezaljka za cijevi</v>
      </c>
      <c r="D2924" s="28" t="s">
        <v>11</v>
      </c>
      <c r="E2924" s="29">
        <v>1</v>
      </c>
      <c r="F2924" s="17"/>
    </row>
    <row r="2925" spans="1:9" ht="25.5" customHeight="1" x14ac:dyDescent="0.2">
      <c r="A2925" s="27">
        <v>2923</v>
      </c>
      <c r="B2925" s="29" t="s">
        <v>1703</v>
      </c>
      <c r="C2925" s="29" t="str">
        <f ca="1">IFERROR(__xludf.DUMMYFUNCTION("GOOGLETRANSLATE(C5915,""en"",""hr"")"),"Poklopna ploča")</f>
        <v>Poklopna ploča</v>
      </c>
      <c r="D2925" s="28" t="s">
        <v>11</v>
      </c>
      <c r="E2925" s="29">
        <v>1</v>
      </c>
      <c r="F2925" s="17"/>
    </row>
    <row r="2926" spans="1:9" ht="25.5" customHeight="1" x14ac:dyDescent="0.2">
      <c r="A2926" s="27">
        <v>2924</v>
      </c>
      <c r="B2926" s="29" t="s">
        <v>798</v>
      </c>
      <c r="C2926" s="29" t="str">
        <f ca="1">IFERROR(__xludf.DUMMYFUNCTION("GOOGLETRANSLATE(C2434,""en"",""hr"")"),"Stezaljka za cijevi")</f>
        <v>Stezaljka za cijevi</v>
      </c>
      <c r="D2926" s="28" t="s">
        <v>11</v>
      </c>
      <c r="E2926" s="29">
        <v>1</v>
      </c>
      <c r="F2926" s="17"/>
    </row>
    <row r="2927" spans="1:9" ht="25.5" customHeight="1" x14ac:dyDescent="0.2">
      <c r="A2927" s="27">
        <v>2925</v>
      </c>
      <c r="B2927" s="29" t="s">
        <v>1641</v>
      </c>
      <c r="C2927" s="29" t="str">
        <f ca="1">IFERROR(__xludf.DUMMYFUNCTION("GOOGLETRANSLATE(C5544,""en"",""hr"")"),"Stezaljka za cijevi")</f>
        <v>Stezaljka za cijevi</v>
      </c>
      <c r="D2927" s="28" t="s">
        <v>11</v>
      </c>
      <c r="E2927" s="29">
        <v>1</v>
      </c>
      <c r="F2927" s="17"/>
      <c r="I2927" s="4" t="b">
        <f>INT(F2925*100)=(F2925*100)</f>
        <v>1</v>
      </c>
    </row>
    <row r="2928" spans="1:9" ht="25.5" customHeight="1" x14ac:dyDescent="0.2">
      <c r="A2928" s="27">
        <v>2926</v>
      </c>
      <c r="B2928" s="29" t="s">
        <v>1591</v>
      </c>
      <c r="C2928" s="29" t="str">
        <f ca="1">IFERROR(__xludf.DUMMYFUNCTION("GOOGLETRANSLATE(C5402,""en"",""hr"")"),"Ravni uvrtni vijčani spoj")</f>
        <v>Ravni uvrtni vijčani spoj</v>
      </c>
      <c r="D2928" s="28" t="s">
        <v>11</v>
      </c>
      <c r="E2928" s="29">
        <v>1</v>
      </c>
      <c r="F2928" s="17"/>
    </row>
    <row r="2929" spans="1:6" ht="25.5" customHeight="1" x14ac:dyDescent="0.2">
      <c r="A2929" s="27">
        <v>2927</v>
      </c>
      <c r="B2929" s="29" t="s">
        <v>1730</v>
      </c>
      <c r="C2929" s="29" t="str">
        <f ca="1">IFERROR(__xludf.DUMMYFUNCTION("GOOGLETRANSLATE(C6011,""en"",""hr"")"),"Ravni uvrtni vijčani spoj")</f>
        <v>Ravni uvrtni vijčani spoj</v>
      </c>
      <c r="D2929" s="28" t="s">
        <v>11</v>
      </c>
      <c r="E2929" s="29">
        <v>1</v>
      </c>
      <c r="F2929" s="17"/>
    </row>
    <row r="2930" spans="1:6" ht="25.5" customHeight="1" x14ac:dyDescent="0.2">
      <c r="A2930" s="27">
        <v>2928</v>
      </c>
      <c r="B2930" s="29" t="s">
        <v>870</v>
      </c>
      <c r="C2930" s="29" t="str">
        <f ca="1">IFERROR(__xludf.DUMMYFUNCTION("GOOGLETRANSLATE(C2550,""en"",""hr"")"),"Ravni uvrtni vijčani spoj")</f>
        <v>Ravni uvrtni vijčani spoj</v>
      </c>
      <c r="D2930" s="28" t="s">
        <v>11</v>
      </c>
      <c r="E2930" s="29">
        <v>1</v>
      </c>
      <c r="F2930" s="17"/>
    </row>
    <row r="2931" spans="1:6" ht="25.5" customHeight="1" x14ac:dyDescent="0.2">
      <c r="A2931" s="27">
        <v>2929</v>
      </c>
      <c r="B2931" s="29" t="s">
        <v>1683</v>
      </c>
      <c r="C2931" s="29" t="str">
        <f ca="1">IFERROR(__xludf.DUMMYFUNCTION("GOOGLETRANSLATE(C5820,""en"",""hr"")"),"Ravni uvrtni vijčani spoj")</f>
        <v>Ravni uvrtni vijčani spoj</v>
      </c>
      <c r="D2931" s="28" t="s">
        <v>11</v>
      </c>
      <c r="E2931" s="29">
        <v>1</v>
      </c>
      <c r="F2931" s="17"/>
    </row>
    <row r="2932" spans="1:6" ht="25.5" customHeight="1" x14ac:dyDescent="0.2">
      <c r="A2932" s="27">
        <v>2930</v>
      </c>
      <c r="B2932" s="29" t="s">
        <v>1667</v>
      </c>
      <c r="C2932" s="29" t="str">
        <f ca="1">IFERROR(__xludf.DUMMYFUNCTION("GOOGLETRANSLATE(C5756,""en"",""hr"")"),"Ravni uvrtni vijčani spoj")</f>
        <v>Ravni uvrtni vijčani spoj</v>
      </c>
      <c r="D2932" s="28" t="s">
        <v>11</v>
      </c>
      <c r="E2932" s="29">
        <v>1</v>
      </c>
      <c r="F2932" s="17"/>
    </row>
    <row r="2933" spans="1:6" ht="25.5" customHeight="1" x14ac:dyDescent="0.2">
      <c r="A2933" s="27">
        <v>2931</v>
      </c>
      <c r="B2933" s="29" t="s">
        <v>1680</v>
      </c>
      <c r="C2933" s="29" t="str">
        <f ca="1">IFERROR(__xludf.DUMMYFUNCTION("GOOGLETRANSLATE(C5809,""en"",""hr"")"),"Ravni uvrtni vijčani spoj")</f>
        <v>Ravni uvrtni vijčani spoj</v>
      </c>
      <c r="D2933" s="28" t="s">
        <v>11</v>
      </c>
      <c r="E2933" s="29">
        <v>1</v>
      </c>
      <c r="F2933" s="17"/>
    </row>
    <row r="2934" spans="1:6" ht="25.5" customHeight="1" x14ac:dyDescent="0.2">
      <c r="A2934" s="27">
        <v>2932</v>
      </c>
      <c r="B2934" s="29" t="s">
        <v>430</v>
      </c>
      <c r="C2934" s="29" t="str">
        <f ca="1">IFERROR(__xludf.DUMMYFUNCTION("GOOGLETRANSLATE(C1019,""en"",""hr"")"),"Ravni uvrtni vijčani spoj")</f>
        <v>Ravni uvrtni vijčani spoj</v>
      </c>
      <c r="D2934" s="28" t="s">
        <v>11</v>
      </c>
      <c r="E2934" s="29">
        <v>1</v>
      </c>
      <c r="F2934" s="17"/>
    </row>
    <row r="2935" spans="1:6" ht="25.5" customHeight="1" x14ac:dyDescent="0.2">
      <c r="A2935" s="27">
        <v>2933</v>
      </c>
      <c r="B2935" s="29" t="s">
        <v>1338</v>
      </c>
      <c r="C2935" s="29" t="str">
        <f ca="1">IFERROR(__xludf.DUMMYFUNCTION("GOOGLETRANSLATE(C4207,""en"",""hr"")"),"Priključak")</f>
        <v>Priključak</v>
      </c>
      <c r="D2935" s="28" t="s">
        <v>11</v>
      </c>
      <c r="E2935" s="29">
        <v>1</v>
      </c>
      <c r="F2935" s="17"/>
    </row>
    <row r="2936" spans="1:6" ht="25.5" customHeight="1" x14ac:dyDescent="0.2">
      <c r="A2936" s="27">
        <v>2934</v>
      </c>
      <c r="B2936" s="29" t="s">
        <v>1227</v>
      </c>
      <c r="C2936" s="29" t="str">
        <f ca="1">IFERROR(__xludf.DUMMYFUNCTION("GOOGLETRANSLATE(C3915,""en"",""hr"")"),"Koljenasti vijčani spoj")</f>
        <v>Koljenasti vijčani spoj</v>
      </c>
      <c r="D2936" s="28" t="s">
        <v>11</v>
      </c>
      <c r="E2936" s="29">
        <v>1</v>
      </c>
      <c r="F2936" s="17"/>
    </row>
    <row r="2937" spans="1:6" ht="25.5" customHeight="1" x14ac:dyDescent="0.2">
      <c r="A2937" s="27">
        <v>2935</v>
      </c>
      <c r="B2937" s="29" t="s">
        <v>1242</v>
      </c>
      <c r="C2937" s="29" t="str">
        <f ca="1">IFERROR(__xludf.DUMMYFUNCTION("GOOGLETRANSLATE(C3942,""en"",""hr"")"),"Koljenasti vijčani spoj")</f>
        <v>Koljenasti vijčani spoj</v>
      </c>
      <c r="D2937" s="28" t="s">
        <v>11</v>
      </c>
      <c r="E2937" s="29">
        <v>1</v>
      </c>
      <c r="F2937" s="17"/>
    </row>
    <row r="2938" spans="1:6" ht="25.5" customHeight="1" x14ac:dyDescent="0.2">
      <c r="A2938" s="27">
        <v>2936</v>
      </c>
      <c r="B2938" s="29" t="s">
        <v>1736</v>
      </c>
      <c r="C2938" s="29" t="str">
        <f ca="1">IFERROR(__xludf.DUMMYFUNCTION("GOOGLETRANSLATE(C6033,""en"",""hr"")"),"Koljenasti vijčani spoj")</f>
        <v>Koljenasti vijčani spoj</v>
      </c>
      <c r="D2938" s="28" t="s">
        <v>11</v>
      </c>
      <c r="E2938" s="29">
        <v>1</v>
      </c>
      <c r="F2938" s="17"/>
    </row>
    <row r="2939" spans="1:6" ht="25.5" customHeight="1" x14ac:dyDescent="0.2">
      <c r="A2939" s="27">
        <v>2937</v>
      </c>
      <c r="B2939" s="29" t="s">
        <v>702</v>
      </c>
      <c r="C2939" s="29" t="str">
        <f ca="1">IFERROR(__xludf.DUMMYFUNCTION("GOOGLETRANSLATE(C2217,""en"",""hr"")"),"T-utičnica")</f>
        <v>T-utičnica</v>
      </c>
      <c r="D2939" s="28" t="s">
        <v>11</v>
      </c>
      <c r="E2939" s="29">
        <v>1</v>
      </c>
      <c r="F2939" s="17"/>
    </row>
    <row r="2940" spans="1:6" ht="25.5" customHeight="1" x14ac:dyDescent="0.2">
      <c r="A2940" s="27">
        <v>2938</v>
      </c>
      <c r="B2940" s="29" t="s">
        <v>1228</v>
      </c>
      <c r="C2940" s="29" t="str">
        <f ca="1">IFERROR(__xludf.DUMMYFUNCTION("GOOGLETRANSLATE(C3916,""en"",""hr"")"),"T-utičnica")</f>
        <v>T-utičnica</v>
      </c>
      <c r="D2940" s="28" t="s">
        <v>11</v>
      </c>
      <c r="E2940" s="29">
        <v>1</v>
      </c>
      <c r="F2940" s="17"/>
    </row>
    <row r="2941" spans="1:6" ht="25.5" customHeight="1" x14ac:dyDescent="0.2">
      <c r="A2941" s="27">
        <v>2939</v>
      </c>
      <c r="B2941" s="29" t="s">
        <v>1696</v>
      </c>
      <c r="C2941" s="29" t="str">
        <f ca="1">IFERROR(__xludf.DUMMYFUNCTION("GOOGLETRANSLATE(C5876,""en"",""hr"")"),"T-utičnica")</f>
        <v>T-utičnica</v>
      </c>
      <c r="D2941" s="28" t="s">
        <v>11</v>
      </c>
      <c r="E2941" s="29">
        <v>1</v>
      </c>
      <c r="F2941" s="17"/>
    </row>
    <row r="2942" spans="1:6" ht="25.5" customHeight="1" x14ac:dyDescent="0.2">
      <c r="A2942" s="27">
        <v>2940</v>
      </c>
      <c r="B2942" s="29" t="s">
        <v>744</v>
      </c>
      <c r="C2942" s="29" t="str">
        <f ca="1">IFERROR(__xludf.DUMMYFUNCTION("GOOGLETRANSLATE(C2342,""en"",""hr"")"),"T-utičnica")</f>
        <v>T-utičnica</v>
      </c>
      <c r="D2942" s="28" t="s">
        <v>11</v>
      </c>
      <c r="E2942" s="29">
        <v>1</v>
      </c>
      <c r="F2942" s="17"/>
    </row>
    <row r="2943" spans="1:6" ht="25.5" customHeight="1" x14ac:dyDescent="0.2">
      <c r="A2943" s="27">
        <v>2941</v>
      </c>
      <c r="B2943" s="29" t="s">
        <v>1738</v>
      </c>
      <c r="C2943" s="29" t="str">
        <f ca="1">IFERROR(__xludf.DUMMYFUNCTION("GOOGLETRANSLATE(C6039,""en"",""hr"")"),"L-priključak podesiv")</f>
        <v>L-priključak podesiv</v>
      </c>
      <c r="D2943" s="28" t="s">
        <v>11</v>
      </c>
      <c r="E2943" s="29">
        <v>1</v>
      </c>
      <c r="F2943" s="17"/>
    </row>
    <row r="2944" spans="1:6" ht="25.5" customHeight="1" x14ac:dyDescent="0.2">
      <c r="A2944" s="27">
        <v>2942</v>
      </c>
      <c r="B2944" s="29" t="s">
        <v>1697</v>
      </c>
      <c r="C2944" s="29" t="str">
        <f ca="1">IFERROR(__xludf.DUMMYFUNCTION("GOOGLETRANSLATE(C5878,""en"",""hr"")"),"L-priključak podesiv")</f>
        <v>L-priključak podesiv</v>
      </c>
      <c r="D2944" s="28" t="s">
        <v>11</v>
      </c>
      <c r="E2944" s="29">
        <v>1</v>
      </c>
      <c r="F2944" s="17"/>
    </row>
    <row r="2945" spans="1:9" ht="25.5" customHeight="1" x14ac:dyDescent="0.2">
      <c r="A2945" s="27">
        <v>2943</v>
      </c>
      <c r="B2945" s="29" t="s">
        <v>245</v>
      </c>
      <c r="C2945" s="29" t="str">
        <f ca="1">IFERROR(__xludf.DUMMYFUNCTION("GOOGLETRANSLATE(C515,""en"",""hr"")"),"KRIŽNI VIJAK-SPOJ")</f>
        <v>KRIŽNI VIJAK-SPOJ</v>
      </c>
      <c r="D2945" s="28" t="s">
        <v>11</v>
      </c>
      <c r="E2945" s="29">
        <v>1</v>
      </c>
      <c r="F2945" s="17"/>
      <c r="I2945" s="4" t="b">
        <f>INT(F2943*100)=(F2943*100)</f>
        <v>1</v>
      </c>
    </row>
    <row r="2946" spans="1:9" ht="25.5" customHeight="1" x14ac:dyDescent="0.2">
      <c r="A2946" s="27">
        <v>2944</v>
      </c>
      <c r="B2946" s="29" t="s">
        <v>1445</v>
      </c>
      <c r="C2946" s="29" t="str">
        <f ca="1">IFERROR(__xludf.DUMMYFUNCTION("GOOGLETRANSLATE(C4713,""en"",""hr"")"),"O-prsten")</f>
        <v>O-prsten</v>
      </c>
      <c r="D2946" s="28" t="s">
        <v>11</v>
      </c>
      <c r="E2946" s="29">
        <v>1</v>
      </c>
      <c r="F2946" s="17"/>
    </row>
    <row r="2947" spans="1:9" ht="25.5" customHeight="1" x14ac:dyDescent="0.2">
      <c r="A2947" s="27">
        <v>2945</v>
      </c>
      <c r="B2947" s="29" t="s">
        <v>455</v>
      </c>
      <c r="C2947" s="29" t="str">
        <f ca="1">IFERROR(__xludf.DUMMYFUNCTION("GOOGLETRANSLATE(C1105,""en"",""hr"")"),"Stezaljka za cijevi")</f>
        <v>Stezaljka za cijevi</v>
      </c>
      <c r="D2947" s="28" t="s">
        <v>11</v>
      </c>
      <c r="E2947" s="29">
        <v>1</v>
      </c>
      <c r="F2947" s="17"/>
    </row>
    <row r="2948" spans="1:9" ht="25.5" customHeight="1" x14ac:dyDescent="0.2">
      <c r="A2948" s="27">
        <v>2946</v>
      </c>
      <c r="B2948" s="29" t="s">
        <v>2019</v>
      </c>
      <c r="C2948" s="29" t="str">
        <f ca="1">IFERROR(__xludf.DUMMYFUNCTION("GOOGLETRANSLATE(C6831,""en"",""hr"")"),"Poseban ključ")</f>
        <v>Poseban ključ</v>
      </c>
      <c r="D2948" s="28" t="s">
        <v>11</v>
      </c>
      <c r="E2948" s="29">
        <v>1</v>
      </c>
      <c r="F2948" s="17"/>
      <c r="I2948" s="4" t="b">
        <f>INT(F2946*100)=(F2946*100)</f>
        <v>1</v>
      </c>
    </row>
    <row r="2949" spans="1:9" ht="25.5" customHeight="1" x14ac:dyDescent="0.2">
      <c r="A2949" s="27">
        <v>2947</v>
      </c>
      <c r="B2949" s="29" t="s">
        <v>1348</v>
      </c>
      <c r="C2949" s="29" t="str">
        <f ca="1">IFERROR(__xludf.DUMMYFUNCTION("GOOGLETRANSLATE(C4245,""en"",""hr"")"),"Karabin")</f>
        <v>Karabin</v>
      </c>
      <c r="D2949" s="28" t="s">
        <v>11</v>
      </c>
      <c r="E2949" s="29">
        <v>1</v>
      </c>
      <c r="F2949" s="17"/>
    </row>
    <row r="2950" spans="1:9" ht="25.5" customHeight="1" x14ac:dyDescent="0.2">
      <c r="A2950" s="27">
        <v>2948</v>
      </c>
      <c r="B2950" s="29" t="s">
        <v>1132</v>
      </c>
      <c r="C2950" s="29" t="str">
        <f ca="1">IFERROR(__xludf.DUMMYFUNCTION("GOOGLETRANSLATE(C3681,""en"",""hr"")"),"Lakat")</f>
        <v>Lakat</v>
      </c>
      <c r="D2950" s="28" t="s">
        <v>11</v>
      </c>
      <c r="E2950" s="29">
        <v>1</v>
      </c>
      <c r="F2950" s="17"/>
    </row>
    <row r="2951" spans="1:9" ht="25.5" customHeight="1" x14ac:dyDescent="0.2">
      <c r="A2951" s="27">
        <v>2949</v>
      </c>
      <c r="B2951" s="29" t="s">
        <v>1394</v>
      </c>
      <c r="C2951" s="29" t="str">
        <f ca="1">IFERROR(__xludf.DUMMYFUNCTION("GOOGLETRANSLATE(C4472,""en"",""hr"")"),"Prirubnički ležaj")</f>
        <v>Prirubnički ležaj</v>
      </c>
      <c r="D2951" s="28" t="s">
        <v>11</v>
      </c>
      <c r="E2951" s="29">
        <v>1</v>
      </c>
      <c r="F2951" s="17"/>
    </row>
    <row r="2952" spans="1:9" ht="25.5" customHeight="1" x14ac:dyDescent="0.2">
      <c r="A2952" s="27">
        <v>2950</v>
      </c>
      <c r="B2952" s="29" t="s">
        <v>1385</v>
      </c>
      <c r="C2952" s="29" t="str">
        <f ca="1">IFERROR(__xludf.DUMMYFUNCTION("GOOGLETRANSLATE(C4421,""en"",""hr"")"),"Čahura radijalnog ležaja")</f>
        <v>Čahura radijalnog ležaja</v>
      </c>
      <c r="D2952" s="28" t="s">
        <v>11</v>
      </c>
      <c r="E2952" s="29">
        <v>1</v>
      </c>
      <c r="F2952" s="17"/>
      <c r="I2952" s="4" t="b">
        <f>INT(F2950*100)=(F2950*100)</f>
        <v>1</v>
      </c>
    </row>
    <row r="2953" spans="1:9" ht="25.5" customHeight="1" x14ac:dyDescent="0.2">
      <c r="A2953" s="27">
        <v>2951</v>
      </c>
      <c r="B2953" s="29" t="s">
        <v>968</v>
      </c>
      <c r="C2953" s="29" t="str">
        <f ca="1">IFERROR(__xludf.DUMMYFUNCTION("GOOGLETRANSLATE(C3079,""en"",""hr"")"),"Lažni utikač")</f>
        <v>Lažni utikač</v>
      </c>
      <c r="D2953" s="28" t="s">
        <v>11</v>
      </c>
      <c r="E2953" s="29">
        <v>1</v>
      </c>
      <c r="F2953" s="17"/>
    </row>
    <row r="2954" spans="1:9" ht="25.5" customHeight="1" x14ac:dyDescent="0.2">
      <c r="A2954" s="27">
        <v>2952</v>
      </c>
      <c r="B2954" s="29" t="s">
        <v>959</v>
      </c>
      <c r="C2954" s="29" t="str">
        <f ca="1">IFERROR(__xludf.DUMMYFUNCTION("GOOGLETRANSLATE(C3042,""en"",""hr"")"),"Četka (plastična)")</f>
        <v>Četka (plastična)</v>
      </c>
      <c r="D2954" s="28" t="s">
        <v>11</v>
      </c>
      <c r="E2954" s="29">
        <v>1</v>
      </c>
      <c r="F2954" s="17"/>
    </row>
    <row r="2955" spans="1:9" ht="25.5" customHeight="1" x14ac:dyDescent="0.2">
      <c r="A2955" s="27">
        <v>2953</v>
      </c>
      <c r="B2955" s="29" t="s">
        <v>1143</v>
      </c>
      <c r="C2955" s="29" t="str">
        <f ca="1">IFERROR(__xludf.DUMMYFUNCTION("GOOGLETRANSLATE(C3706,""en"",""hr"")"),"Kuglasti ventil")</f>
        <v>Kuglasti ventil</v>
      </c>
      <c r="D2955" s="28" t="s">
        <v>11</v>
      </c>
      <c r="E2955" s="29">
        <v>1</v>
      </c>
      <c r="F2955" s="17"/>
    </row>
    <row r="2956" spans="1:9" ht="25.5" customHeight="1" x14ac:dyDescent="0.2">
      <c r="A2956" s="27">
        <v>2954</v>
      </c>
      <c r="B2956" s="29" t="s">
        <v>30</v>
      </c>
      <c r="C2956" s="29" t="str">
        <f ca="1">IFERROR(__xludf.DUMMYFUNCTION("GOOGLETRANSLATE(C38,""en"",""hr"")"),"Kućište čahure 4-polno")</f>
        <v>Kućište čahure 4-polno</v>
      </c>
      <c r="D2956" s="28" t="s">
        <v>11</v>
      </c>
      <c r="E2956" s="29">
        <v>1</v>
      </c>
      <c r="F2956" s="17"/>
    </row>
    <row r="2957" spans="1:9" ht="25.5" customHeight="1" x14ac:dyDescent="0.2">
      <c r="A2957" s="27">
        <v>2955</v>
      </c>
      <c r="B2957" s="29" t="s">
        <v>958</v>
      </c>
      <c r="C2957" s="29" t="str">
        <f ca="1">IFERROR(__xludf.DUMMYFUNCTION("GOOGLETRANSLATE(C3041,""en"",""hr"")"),"Četka (čelik/plastika)")</f>
        <v>Četka (čelik/plastika)</v>
      </c>
      <c r="D2957" s="28" t="s">
        <v>11</v>
      </c>
      <c r="E2957" s="29">
        <v>1</v>
      </c>
      <c r="F2957" s="17"/>
    </row>
    <row r="2958" spans="1:9" ht="25.5" customHeight="1" x14ac:dyDescent="0.2">
      <c r="A2958" s="27">
        <v>2956</v>
      </c>
      <c r="B2958" s="29" t="s">
        <v>1645</v>
      </c>
      <c r="C2958" s="29" t="str">
        <f ca="1">IFERROR(__xludf.DUMMYFUNCTION("GOOGLETRANSLATE(C5555,""en"",""hr"")"),"Pufer")</f>
        <v>Pufer</v>
      </c>
      <c r="D2958" s="28" t="s">
        <v>11</v>
      </c>
      <c r="E2958" s="29">
        <v>1</v>
      </c>
      <c r="F2958" s="17"/>
    </row>
    <row r="2959" spans="1:9" ht="25.5" customHeight="1" x14ac:dyDescent="0.2">
      <c r="A2959" s="27">
        <v>2957</v>
      </c>
      <c r="B2959" s="29" t="s">
        <v>1916</v>
      </c>
      <c r="C2959" s="29" t="str">
        <f ca="1">IFERROR(__xludf.DUMMYFUNCTION("GOOGLETRANSLATE(C6675,""en"",""hr"")"),"Spojka za prikolicu")</f>
        <v>Spojka za prikolicu</v>
      </c>
      <c r="D2959" s="28" t="s">
        <v>11</v>
      </c>
      <c r="E2959" s="29">
        <v>1</v>
      </c>
      <c r="F2959" s="17"/>
    </row>
    <row r="2960" spans="1:9" ht="25.5" customHeight="1" x14ac:dyDescent="0.2">
      <c r="A2960" s="27">
        <v>2958</v>
      </c>
      <c r="B2960" s="29" t="s">
        <v>957</v>
      </c>
      <c r="C2960" s="29" t="str">
        <f ca="1">IFERROR(__xludf.DUMMYFUNCTION("GOOGLETRANSLATE(C3040,""en"",""hr"")"),"Četka (čelik)")</f>
        <v>Četka (čelik)</v>
      </c>
      <c r="D2960" s="28" t="s">
        <v>11</v>
      </c>
      <c r="E2960" s="29">
        <v>1</v>
      </c>
      <c r="F2960" s="17"/>
    </row>
    <row r="2961" spans="1:9" ht="25.5" customHeight="1" x14ac:dyDescent="0.2">
      <c r="A2961" s="27">
        <v>2959</v>
      </c>
      <c r="B2961" s="29" t="s">
        <v>301</v>
      </c>
      <c r="C2961" s="29" t="str">
        <f ca="1">IFERROR(__xludf.DUMMYFUNCTION("GOOGLETRANSLATE(C668,""en"",""hr"")"),"Konektorska ljuska")</f>
        <v>Konektorska ljuska</v>
      </c>
      <c r="D2961" s="28" t="s">
        <v>11</v>
      </c>
      <c r="E2961" s="29">
        <v>1</v>
      </c>
      <c r="F2961" s="17"/>
    </row>
    <row r="2962" spans="1:9" ht="25.5" customHeight="1" x14ac:dyDescent="0.2">
      <c r="A2962" s="27">
        <v>2960</v>
      </c>
      <c r="B2962" s="29" t="s">
        <v>304</v>
      </c>
      <c r="C2962" s="29" t="str">
        <f ca="1">IFERROR(__xludf.DUMMYFUNCTION("GOOGLETRANSLATE(C671,""en"",""hr"")"),"Lažni utikač")</f>
        <v>Lažni utikač</v>
      </c>
      <c r="D2962" s="28" t="s">
        <v>11</v>
      </c>
      <c r="E2962" s="29">
        <v>1</v>
      </c>
      <c r="F2962" s="17"/>
    </row>
    <row r="2963" spans="1:9" ht="25.5" customHeight="1" x14ac:dyDescent="0.2">
      <c r="A2963" s="27">
        <v>2961</v>
      </c>
      <c r="B2963" s="29" t="s">
        <v>303</v>
      </c>
      <c r="C2963" s="29" t="str">
        <f ca="1">IFERROR(__xludf.DUMMYFUNCTION("GOOGLETRANSLATE(C670,""en"",""hr"")"),"Čahura kabela")</f>
        <v>Čahura kabela</v>
      </c>
      <c r="D2963" s="28" t="s">
        <v>11</v>
      </c>
      <c r="E2963" s="29">
        <v>1</v>
      </c>
      <c r="F2963" s="17"/>
    </row>
    <row r="2964" spans="1:9" ht="25.5" customHeight="1" x14ac:dyDescent="0.2">
      <c r="A2964" s="27">
        <v>2962</v>
      </c>
      <c r="B2964" s="29" t="s">
        <v>302</v>
      </c>
      <c r="C2964" s="29" t="str">
        <f ca="1">IFERROR(__xludf.DUMMYFUNCTION("GOOGLETRANSLATE(C669,""en"",""hr"")"),"Pin")</f>
        <v>Pin</v>
      </c>
      <c r="D2964" s="28" t="s">
        <v>11</v>
      </c>
      <c r="E2964" s="29">
        <v>1</v>
      </c>
      <c r="F2964" s="17"/>
    </row>
    <row r="2965" spans="1:9" ht="25.5" customHeight="1" x14ac:dyDescent="0.2">
      <c r="A2965" s="27">
        <v>2963</v>
      </c>
      <c r="B2965" s="29" t="s">
        <v>1552</v>
      </c>
      <c r="C2965" s="29" t="str">
        <f ca="1">IFERROR(__xludf.DUMMYFUNCTION("GOOGLETRANSLATE(C5289,""en"",""hr"")"),"Poklopac")</f>
        <v>Poklopac</v>
      </c>
      <c r="D2965" s="28" t="s">
        <v>11</v>
      </c>
      <c r="E2965" s="29">
        <v>1</v>
      </c>
      <c r="F2965" s="17"/>
    </row>
    <row r="2966" spans="1:9" ht="25.5" customHeight="1" x14ac:dyDescent="0.2">
      <c r="A2966" s="27">
        <v>2964</v>
      </c>
      <c r="B2966" s="29" t="s">
        <v>1088</v>
      </c>
      <c r="C2966" s="29" t="str">
        <f ca="1">IFERROR(__xludf.DUMMYFUNCTION("GOOGLETRANSLATE(C3510,""en"",""hr"")"),"Poklopac")</f>
        <v>Poklopac</v>
      </c>
      <c r="D2966" s="28" t="s">
        <v>11</v>
      </c>
      <c r="E2966" s="29">
        <v>1</v>
      </c>
      <c r="F2966" s="17"/>
    </row>
    <row r="2967" spans="1:9" ht="25.5" customHeight="1" x14ac:dyDescent="0.2">
      <c r="A2967" s="27">
        <v>2965</v>
      </c>
      <c r="B2967" s="29" t="s">
        <v>236</v>
      </c>
      <c r="C2967" s="29" t="str">
        <f ca="1">IFERROR(__xludf.DUMMYFUNCTION("GOOGLETRANSLATE(C491,""en"",""hr"")"),"kapa")</f>
        <v>kapa</v>
      </c>
      <c r="D2967" s="28" t="s">
        <v>11</v>
      </c>
      <c r="E2967" s="29">
        <v>1</v>
      </c>
      <c r="F2967" s="17"/>
    </row>
    <row r="2968" spans="1:9" ht="25.5" customHeight="1" x14ac:dyDescent="0.2">
      <c r="A2968" s="27">
        <v>2966</v>
      </c>
      <c r="B2968" s="29" t="s">
        <v>1510</v>
      </c>
      <c r="C2968" s="29" t="str">
        <f ca="1">IFERROR(__xludf.DUMMYFUNCTION("GOOGLETRANSLATE(C5116,""en"",""hr"")"),"Utikač")</f>
        <v>Utikač</v>
      </c>
      <c r="D2968" s="28" t="s">
        <v>11</v>
      </c>
      <c r="E2968" s="29">
        <v>1</v>
      </c>
      <c r="F2968" s="17"/>
    </row>
    <row r="2969" spans="1:9" ht="25.5" customHeight="1" x14ac:dyDescent="0.2">
      <c r="A2969" s="27">
        <v>2967</v>
      </c>
      <c r="B2969" s="29" t="s">
        <v>728</v>
      </c>
      <c r="C2969" s="29" t="str">
        <f ca="1">IFERROR(__xludf.DUMMYFUNCTION("GOOGLETRANSLATE(C2287,""en"",""hr"")"),"Šesterokutna matica SSI")</f>
        <v>Šesterokutna matica SSI</v>
      </c>
      <c r="D2969" s="28" t="s">
        <v>11</v>
      </c>
      <c r="E2969" s="29">
        <v>1</v>
      </c>
      <c r="F2969" s="17"/>
    </row>
    <row r="2970" spans="1:9" ht="25.5" customHeight="1" x14ac:dyDescent="0.2">
      <c r="A2970" s="27">
        <v>2968</v>
      </c>
      <c r="B2970" s="29" t="s">
        <v>2020</v>
      </c>
      <c r="C2970" s="29" t="str">
        <f ca="1">IFERROR(__xludf.DUMMYFUNCTION("GOOGLETRANSLATE(C6832,""en"",""hr"")"),"Cijev (UK)")</f>
        <v>Cijev (UK)</v>
      </c>
      <c r="D2970" s="28" t="s">
        <v>11</v>
      </c>
      <c r="E2970" s="29">
        <v>1</v>
      </c>
      <c r="F2970" s="17"/>
    </row>
    <row r="2971" spans="1:9" ht="25.5" customHeight="1" x14ac:dyDescent="0.2">
      <c r="A2971" s="27">
        <v>2969</v>
      </c>
      <c r="B2971" s="29" t="s">
        <v>1514</v>
      </c>
      <c r="C2971" s="29" t="str">
        <f ca="1">IFERROR(__xludf.DUMMYFUNCTION("GOOGLETRANSLATE(C5122,""en"",""hr"")"),"Brtveni rukavac")</f>
        <v>Brtveni rukavac</v>
      </c>
      <c r="D2971" s="28" t="s">
        <v>11</v>
      </c>
      <c r="E2971" s="29">
        <v>1</v>
      </c>
      <c r="F2971" s="17"/>
      <c r="I2971" s="4" t="b">
        <f>INT(F2969*100)=(F2969*100)</f>
        <v>1</v>
      </c>
    </row>
    <row r="2972" spans="1:9" ht="25.5" customHeight="1" x14ac:dyDescent="0.2">
      <c r="A2972" s="27">
        <v>2970</v>
      </c>
      <c r="B2972" s="29" t="s">
        <v>955</v>
      </c>
      <c r="C2972" s="29" t="str">
        <f ca="1">IFERROR(__xludf.DUMMYFUNCTION("GOOGLETRANSLATE(C3031,""en"",""hr"")"),"Četka za korov")</f>
        <v>Četka za korov</v>
      </c>
      <c r="D2972" s="28" t="s">
        <v>11</v>
      </c>
      <c r="E2972" s="29">
        <v>1</v>
      </c>
      <c r="F2972" s="17"/>
    </row>
    <row r="2973" spans="1:9" ht="25.5" customHeight="1" x14ac:dyDescent="0.2">
      <c r="A2973" s="27">
        <v>2971</v>
      </c>
      <c r="B2973" s="29" t="s">
        <v>1863</v>
      </c>
      <c r="C2973" s="29" t="str">
        <f ca="1">IFERROR(__xludf.DUMMYFUNCTION("GOOGLETRANSLATE(C6574,""en"",""hr"")"),"Adapter PCAN-USB sučelje na vozilo")</f>
        <v>Adapter PCAN-USB sučelje na vozilo</v>
      </c>
      <c r="D2973" s="28" t="s">
        <v>11</v>
      </c>
      <c r="E2973" s="29">
        <v>1</v>
      </c>
      <c r="F2973" s="17"/>
    </row>
    <row r="2974" spans="1:9" ht="25.5" customHeight="1" x14ac:dyDescent="0.2">
      <c r="A2974" s="27">
        <v>2972</v>
      </c>
      <c r="B2974" s="29" t="s">
        <v>1864</v>
      </c>
      <c r="C2974" s="29" t="str">
        <f ca="1">IFERROR(__xludf.DUMMYFUNCTION("GOOGLETRANSLATE(C6575,""en"",""hr"")"),"Adapter PCAN-završetak")</f>
        <v>Adapter PCAN-završetak</v>
      </c>
      <c r="D2974" s="28" t="s">
        <v>11</v>
      </c>
      <c r="E2974" s="29">
        <v>1</v>
      </c>
      <c r="F2974" s="17"/>
      <c r="I2974" s="4" t="b">
        <f>INT(F2972*100)=(F2972*100)</f>
        <v>1</v>
      </c>
    </row>
    <row r="2975" spans="1:9" ht="25.5" customHeight="1" x14ac:dyDescent="0.2">
      <c r="A2975" s="27">
        <v>2973</v>
      </c>
      <c r="B2975" s="29" t="s">
        <v>1865</v>
      </c>
      <c r="C2975" s="29" t="str">
        <f ca="1">IFERROR(__xludf.DUMMYFUNCTION("GOOGLETRANSLATE(C6576,""en"",""hr"")"),"Kabel kpl.")</f>
        <v>Kabel kpl.</v>
      </c>
      <c r="D2975" s="28" t="s">
        <v>11</v>
      </c>
      <c r="E2975" s="29">
        <v>1</v>
      </c>
      <c r="F2975" s="17"/>
    </row>
    <row r="2976" spans="1:9" ht="25.5" customHeight="1" x14ac:dyDescent="0.2">
      <c r="A2976" s="27">
        <v>2974</v>
      </c>
      <c r="B2976" s="29" t="s">
        <v>1236</v>
      </c>
      <c r="C2976" s="29" t="str">
        <f ca="1">IFERROR(__xludf.DUMMYFUNCTION("GOOGLETRANSLATE(C3926,""en"",""hr"")"),"Okretna matica")</f>
        <v>Okretna matica</v>
      </c>
      <c r="D2976" s="28" t="s">
        <v>11</v>
      </c>
      <c r="E2976" s="29">
        <v>1</v>
      </c>
      <c r="F2976" s="17"/>
    </row>
    <row r="2977" spans="1:9" ht="25.5" customHeight="1" x14ac:dyDescent="0.2">
      <c r="A2977" s="27">
        <v>2975</v>
      </c>
      <c r="B2977" s="29" t="s">
        <v>1662</v>
      </c>
      <c r="C2977" s="29" t="str">
        <f ca="1">IFERROR(__xludf.DUMMYFUNCTION("GOOGLETRANSLATE(C5653,""en"",""hr"")"),"Priključak")</f>
        <v>Priključak</v>
      </c>
      <c r="D2977" s="28" t="s">
        <v>11</v>
      </c>
      <c r="E2977" s="29">
        <v>1</v>
      </c>
      <c r="F2977" s="17"/>
    </row>
    <row r="2978" spans="1:9" ht="25.5" customHeight="1" x14ac:dyDescent="0.2">
      <c r="A2978" s="27">
        <v>2976</v>
      </c>
      <c r="B2978" s="29" t="s">
        <v>488</v>
      </c>
      <c r="C2978" s="29" t="str">
        <f ca="1">IFERROR(__xludf.DUMMYFUNCTION("GOOGLETRANSLATE(C1183,""en"",""hr"")"),"Priključak crijeva")</f>
        <v>Priključak crijeva</v>
      </c>
      <c r="D2978" s="28" t="s">
        <v>11</v>
      </c>
      <c r="E2978" s="29">
        <v>1</v>
      </c>
      <c r="F2978" s="17"/>
      <c r="I2978" s="4" t="b">
        <f>INT(F2976*100)=(F2976*100)</f>
        <v>1</v>
      </c>
    </row>
    <row r="2979" spans="1:9" ht="25.5" customHeight="1" x14ac:dyDescent="0.2">
      <c r="A2979" s="27">
        <v>2977</v>
      </c>
      <c r="B2979" s="29" t="s">
        <v>1909</v>
      </c>
      <c r="C2979" s="29" t="str">
        <f ca="1">IFERROR(__xludf.DUMMYFUNCTION("GOOGLETRANSLATE(C6659,""en"",""hr"")"),"Utičnica 2-polna")</f>
        <v>Utičnica 2-polna</v>
      </c>
      <c r="D2979" s="28" t="s">
        <v>11</v>
      </c>
      <c r="E2979" s="29">
        <v>1</v>
      </c>
      <c r="F2979" s="17"/>
    </row>
    <row r="2980" spans="1:9" ht="25.5" customHeight="1" x14ac:dyDescent="0.2">
      <c r="A2980" s="27">
        <v>2978</v>
      </c>
      <c r="B2980" s="29" t="s">
        <v>956</v>
      </c>
      <c r="C2980" s="29" t="str">
        <f ca="1">IFERROR(__xludf.DUMMYFUNCTION("GOOGLETRANSLATE(C3032,""en"",""hr"")"),"Montažna ploča crna")</f>
        <v>Montažna ploča crna</v>
      </c>
      <c r="D2980" s="28" t="s">
        <v>11</v>
      </c>
      <c r="E2980" s="29">
        <v>1</v>
      </c>
      <c r="F2980" s="17"/>
    </row>
    <row r="2981" spans="1:9" ht="25.5" customHeight="1" x14ac:dyDescent="0.2">
      <c r="A2981" s="27">
        <v>2979</v>
      </c>
      <c r="B2981" s="29" t="s">
        <v>1578</v>
      </c>
      <c r="C2981" s="29" t="str">
        <f ca="1">IFERROR(__xludf.DUMMYFUNCTION("GOOGLETRANSLATE(C5349,""en"",""hr"")"),"Guma - papučica kočnice")</f>
        <v>Guma - papučica kočnice</v>
      </c>
      <c r="D2981" s="28" t="s">
        <v>11</v>
      </c>
      <c r="E2981" s="29">
        <v>1</v>
      </c>
      <c r="F2981" s="17"/>
    </row>
    <row r="2982" spans="1:9" ht="25.5" customHeight="1" x14ac:dyDescent="0.2">
      <c r="A2982" s="27">
        <v>2980</v>
      </c>
      <c r="B2982" s="29" t="s">
        <v>1539</v>
      </c>
      <c r="C2982" s="29" t="str">
        <f ca="1">IFERROR(__xludf.DUMMYFUNCTION("GOOGLETRANSLATE(C5233,""en"",""hr"")"),"Crijevo po metru")</f>
        <v>Crijevo po metru</v>
      </c>
      <c r="D2982" s="28" t="s">
        <v>11</v>
      </c>
      <c r="E2982" s="29">
        <v>1</v>
      </c>
      <c r="F2982" s="17"/>
    </row>
    <row r="2983" spans="1:9" ht="25.5" customHeight="1" x14ac:dyDescent="0.2">
      <c r="A2983" s="27">
        <v>2981</v>
      </c>
      <c r="B2983" s="29" t="s">
        <v>506</v>
      </c>
      <c r="C2983" s="29" t="str">
        <f ca="1">IFERROR(__xludf.DUMMYFUNCTION("GOOGLETRANSLATE(C1252,""en"",""hr"")"),"Sklop senzora")</f>
        <v>Sklop senzora</v>
      </c>
      <c r="D2983" s="28" t="s">
        <v>11</v>
      </c>
      <c r="E2983" s="29">
        <v>1</v>
      </c>
      <c r="F2983" s="17"/>
    </row>
    <row r="2984" spans="1:9" ht="25.5" customHeight="1" x14ac:dyDescent="0.2">
      <c r="A2984" s="27">
        <v>2982</v>
      </c>
      <c r="B2984" s="29" t="s">
        <v>505</v>
      </c>
      <c r="C2984" s="29" t="str">
        <f ca="1">IFERROR(__xludf.DUMMYFUNCTION("GOOGLETRANSLATE(C1251,""en"",""hr"")"),"Čahura")</f>
        <v>Čahura</v>
      </c>
      <c r="D2984" s="28" t="s">
        <v>11</v>
      </c>
      <c r="E2984" s="29">
        <v>1</v>
      </c>
      <c r="F2984" s="17"/>
    </row>
    <row r="2985" spans="1:9" ht="25.5" customHeight="1" x14ac:dyDescent="0.2">
      <c r="A2985" s="27">
        <v>2983</v>
      </c>
      <c r="B2985" s="29" t="s">
        <v>24</v>
      </c>
      <c r="C2985" s="29" t="str">
        <f ca="1">IFERROR(__xludf.DUMMYFUNCTION("GOOGLETRANSLATE(C22,""en"",""hr"")"),"Indikator razine punjenja")</f>
        <v>Indikator razine punjenja</v>
      </c>
      <c r="D2985" s="28" t="s">
        <v>11</v>
      </c>
      <c r="E2985" s="29">
        <v>1</v>
      </c>
      <c r="F2985" s="17"/>
    </row>
    <row r="2986" spans="1:9" ht="25.5" customHeight="1" x14ac:dyDescent="0.2">
      <c r="A2986" s="27">
        <v>2984</v>
      </c>
      <c r="B2986" s="29" t="s">
        <v>2026</v>
      </c>
      <c r="C2986" s="29" t="str">
        <f ca="1">IFERROR(__xludf.DUMMYFUNCTION("GOOGLETRANSLATE(C6867,""en"",""hr"")"),"Retrofit Bucher Connect CityCat V20 / VS20 - Go")</f>
        <v>Retrofit Bucher Connect CityCat V20 / VS20 - Go</v>
      </c>
      <c r="D2986" s="28" t="s">
        <v>11</v>
      </c>
      <c r="E2986" s="29">
        <v>1</v>
      </c>
      <c r="F2986" s="17"/>
    </row>
    <row r="2987" spans="1:9" ht="25.5" customHeight="1" x14ac:dyDescent="0.2">
      <c r="A2987" s="27">
        <v>2985</v>
      </c>
      <c r="B2987" s="29" t="s">
        <v>2027</v>
      </c>
      <c r="C2987" s="29" t="str">
        <f ca="1">IFERROR(__xludf.DUMMYFUNCTION("GOOGLETRANSLATE(C6868,""en"",""hr"")"),"Retrofit Bucher Connect CityCat V20 / VS20 - Go Plus")</f>
        <v>Retrofit Bucher Connect CityCat V20 / VS20 - Go Plus</v>
      </c>
      <c r="D2987" s="28" t="s">
        <v>11</v>
      </c>
      <c r="E2987" s="29">
        <v>1</v>
      </c>
      <c r="F2987" s="17"/>
    </row>
    <row r="2988" spans="1:9" ht="25.5" customHeight="1" x14ac:dyDescent="0.2">
      <c r="A2988" s="27">
        <v>2986</v>
      </c>
      <c r="B2988" s="29" t="s">
        <v>624</v>
      </c>
      <c r="C2988" s="29" t="str">
        <f ca="1">IFERROR(__xludf.DUMMYFUNCTION("GOOGLETRANSLATE(C1933,""en"",""hr"")"),"Vijak")</f>
        <v>Vijak</v>
      </c>
      <c r="D2988" s="28" t="s">
        <v>11</v>
      </c>
      <c r="E2988" s="29">
        <v>1</v>
      </c>
      <c r="F2988" s="17"/>
    </row>
    <row r="2989" spans="1:9" ht="25.5" customHeight="1" x14ac:dyDescent="0.2">
      <c r="A2989" s="27">
        <v>2987</v>
      </c>
      <c r="B2989" s="29" t="s">
        <v>784</v>
      </c>
      <c r="C2989" s="29" t="str">
        <f ca="1">IFERROR(__xludf.DUMMYFUNCTION("GOOGLETRANSLATE(C2414,""en"",""hr"")"),"Vijak")</f>
        <v>Vijak</v>
      </c>
      <c r="D2989" s="28" t="s">
        <v>11</v>
      </c>
      <c r="E2989" s="29">
        <v>1</v>
      </c>
      <c r="F2989" s="17"/>
    </row>
    <row r="2990" spans="1:9" ht="25.5" customHeight="1" x14ac:dyDescent="0.2">
      <c r="A2990" s="27">
        <v>2988</v>
      </c>
      <c r="B2990" s="29" t="s">
        <v>962</v>
      </c>
      <c r="C2990" s="29" t="str">
        <f ca="1">IFERROR(__xludf.DUMMYFUNCTION("GOOGLETRANSLATE(C3056,""en"",""hr"")"),"Vijak")</f>
        <v>Vijak</v>
      </c>
      <c r="D2990" s="28" t="s">
        <v>11</v>
      </c>
      <c r="E2990" s="29">
        <v>1</v>
      </c>
      <c r="F2990" s="17"/>
    </row>
    <row r="2991" spans="1:9" ht="25.5" customHeight="1" x14ac:dyDescent="0.2">
      <c r="A2991" s="27">
        <v>2989</v>
      </c>
      <c r="B2991" s="29" t="s">
        <v>735</v>
      </c>
      <c r="C2991" s="29" t="str">
        <f ca="1">IFERROR(__xludf.DUMMYFUNCTION("GOOGLETRANSLATE(C2318,""en"",""hr"")"),"Vijak")</f>
        <v>Vijak</v>
      </c>
      <c r="D2991" s="28" t="s">
        <v>11</v>
      </c>
      <c r="E2991" s="29">
        <v>1</v>
      </c>
      <c r="F2991" s="17"/>
    </row>
    <row r="2992" spans="1:9" ht="25.5" customHeight="1" x14ac:dyDescent="0.2">
      <c r="A2992" s="27">
        <v>2990</v>
      </c>
      <c r="B2992" s="29" t="s">
        <v>767</v>
      </c>
      <c r="C2992" s="29" t="str">
        <f ca="1">IFERROR(__xludf.DUMMYFUNCTION("GOOGLETRANSLATE(C2384,""en"",""hr"")"),"Vijak")</f>
        <v>Vijak</v>
      </c>
      <c r="D2992" s="28" t="s">
        <v>11</v>
      </c>
      <c r="E2992" s="29">
        <v>1</v>
      </c>
      <c r="F2992" s="17"/>
    </row>
    <row r="2993" spans="1:9" ht="25.5" customHeight="1" x14ac:dyDescent="0.2">
      <c r="A2993" s="27">
        <v>2991</v>
      </c>
      <c r="B2993" s="29" t="s">
        <v>1411</v>
      </c>
      <c r="C2993" s="29" t="str">
        <f ca="1">IFERROR(__xludf.DUMMYFUNCTION("GOOGLETRANSLATE(C4580,""en"",""hr"")"),"Vijak")</f>
        <v>Vijak</v>
      </c>
      <c r="D2993" s="28" t="s">
        <v>11</v>
      </c>
      <c r="E2993" s="29">
        <v>1</v>
      </c>
      <c r="F2993" s="17"/>
    </row>
    <row r="2994" spans="1:9" ht="25.5" customHeight="1" x14ac:dyDescent="0.2">
      <c r="A2994" s="27">
        <v>2992</v>
      </c>
      <c r="B2994" s="29" t="s">
        <v>934</v>
      </c>
      <c r="C2994" s="29" t="str">
        <f ca="1">IFERROR(__xludf.DUMMYFUNCTION("GOOGLETRANSLATE(C2851,""en"",""hr"")"),"Vijak")</f>
        <v>Vijak</v>
      </c>
      <c r="D2994" s="28" t="s">
        <v>11</v>
      </c>
      <c r="E2994" s="29">
        <v>1</v>
      </c>
      <c r="F2994" s="17"/>
    </row>
    <row r="2995" spans="1:9" ht="25.5" customHeight="1" x14ac:dyDescent="0.2">
      <c r="A2995" s="27">
        <v>2993</v>
      </c>
      <c r="B2995" s="29" t="s">
        <v>855</v>
      </c>
      <c r="C2995" s="29" t="str">
        <f ca="1">IFERROR(__xludf.DUMMYFUNCTION("GOOGLETRANSLATE(C2523,""en"",""hr"")"),"Vijak")</f>
        <v>Vijak</v>
      </c>
      <c r="D2995" s="28" t="s">
        <v>11</v>
      </c>
      <c r="E2995" s="29">
        <v>1</v>
      </c>
      <c r="F2995" s="17"/>
    </row>
    <row r="2996" spans="1:9" ht="25.5" customHeight="1" x14ac:dyDescent="0.2">
      <c r="A2996" s="27">
        <v>2994</v>
      </c>
      <c r="B2996" s="29" t="s">
        <v>929</v>
      </c>
      <c r="C2996" s="29" t="str">
        <f ca="1">IFERROR(__xludf.DUMMYFUNCTION("GOOGLETRANSLATE(C2800,""en"",""hr"")"),"Vijak")</f>
        <v>Vijak</v>
      </c>
      <c r="D2996" s="28" t="s">
        <v>11</v>
      </c>
      <c r="E2996" s="29">
        <v>1</v>
      </c>
      <c r="F2996" s="17"/>
      <c r="I2996" s="4" t="b">
        <f>INT(F2994*100)=(F2994*100)</f>
        <v>1</v>
      </c>
    </row>
    <row r="2997" spans="1:9" ht="25.5" customHeight="1" x14ac:dyDescent="0.2">
      <c r="A2997" s="27">
        <v>2995</v>
      </c>
      <c r="B2997" s="29" t="s">
        <v>891</v>
      </c>
      <c r="C2997" s="29" t="str">
        <f ca="1">IFERROR(__xludf.DUMMYFUNCTION("GOOGLETRANSLATE(C2604,""en"",""hr"")"),"Vijak")</f>
        <v>Vijak</v>
      </c>
      <c r="D2997" s="28" t="s">
        <v>11</v>
      </c>
      <c r="E2997" s="29">
        <v>1</v>
      </c>
      <c r="F2997" s="17"/>
    </row>
    <row r="2998" spans="1:9" ht="25.5" customHeight="1" x14ac:dyDescent="0.2">
      <c r="A2998" s="27">
        <v>2996</v>
      </c>
      <c r="B2998" s="29" t="s">
        <v>611</v>
      </c>
      <c r="C2998" s="29" t="str">
        <f ca="1">IFERROR(__xludf.DUMMYFUNCTION("GOOGLETRANSLATE(C1892,""en"",""hr"")"),"Vijak")</f>
        <v>Vijak</v>
      </c>
      <c r="D2998" s="28" t="s">
        <v>11</v>
      </c>
      <c r="E2998" s="29">
        <v>1</v>
      </c>
      <c r="F2998" s="17"/>
    </row>
    <row r="2999" spans="1:9" ht="25.5" customHeight="1" x14ac:dyDescent="0.2">
      <c r="A2999" s="27">
        <v>2997</v>
      </c>
      <c r="B2999" s="29" t="s">
        <v>609</v>
      </c>
      <c r="C2999" s="29" t="str">
        <f ca="1">IFERROR(__xludf.DUMMYFUNCTION("GOOGLETRANSLATE(C1886,""en"",""hr"")"),"Vijak")</f>
        <v>Vijak</v>
      </c>
      <c r="D2999" s="28" t="s">
        <v>11</v>
      </c>
      <c r="E2999" s="29">
        <v>1</v>
      </c>
      <c r="F2999" s="17"/>
      <c r="I2999" s="4" t="b">
        <f>INT(F2997*100)=(F2997*100)</f>
        <v>1</v>
      </c>
    </row>
    <row r="3000" spans="1:9" ht="25.5" customHeight="1" x14ac:dyDescent="0.2">
      <c r="A3000" s="27">
        <v>2998</v>
      </c>
      <c r="B3000" s="29" t="s">
        <v>453</v>
      </c>
      <c r="C3000" s="29" t="str">
        <f ca="1">IFERROR(__xludf.DUMMYFUNCTION("GOOGLETRANSLATE(C1090,""en"",""hr"")"),"Vijak")</f>
        <v>Vijak</v>
      </c>
      <c r="D3000" s="28" t="s">
        <v>11</v>
      </c>
      <c r="E3000" s="29">
        <v>1</v>
      </c>
      <c r="F3000" s="17"/>
    </row>
    <row r="3001" spans="1:9" ht="25.5" customHeight="1" x14ac:dyDescent="0.2">
      <c r="A3001" s="27">
        <v>2999</v>
      </c>
      <c r="B3001" s="29" t="s">
        <v>995</v>
      </c>
      <c r="C3001" s="29" t="str">
        <f ca="1">IFERROR(__xludf.DUMMYFUNCTION("GOOGLETRANSLATE(C3177,""en"",""hr"")"),"Vijak")</f>
        <v>Vijak</v>
      </c>
      <c r="D3001" s="28" t="s">
        <v>11</v>
      </c>
      <c r="E3001" s="29">
        <v>1</v>
      </c>
      <c r="F3001" s="17"/>
    </row>
    <row r="3002" spans="1:9" ht="25.5" customHeight="1" x14ac:dyDescent="0.2">
      <c r="A3002" s="27">
        <v>3000</v>
      </c>
      <c r="B3002" s="29" t="s">
        <v>1003</v>
      </c>
      <c r="C3002" s="29" t="str">
        <f ca="1">IFERROR(__xludf.DUMMYFUNCTION("GOOGLETRANSLATE(C3199,""en"",""hr"")"),"Vijak")</f>
        <v>Vijak</v>
      </c>
      <c r="D3002" s="28" t="s">
        <v>11</v>
      </c>
      <c r="E3002" s="29">
        <v>1</v>
      </c>
      <c r="F3002" s="17"/>
    </row>
    <row r="3003" spans="1:9" ht="25.5" customHeight="1" x14ac:dyDescent="0.2">
      <c r="A3003" s="27">
        <v>3001</v>
      </c>
      <c r="B3003" s="29" t="s">
        <v>918</v>
      </c>
      <c r="C3003" s="29" t="str">
        <f ca="1">IFERROR(__xludf.DUMMYFUNCTION("GOOGLETRANSLATE(C2757,""en"",""hr"")"),"Vijak")</f>
        <v>Vijak</v>
      </c>
      <c r="D3003" s="28" t="s">
        <v>11</v>
      </c>
      <c r="E3003" s="29">
        <v>1</v>
      </c>
      <c r="F3003" s="17"/>
      <c r="I3003" s="4" t="b">
        <f>INT(F3001*100)=(F3001*100)</f>
        <v>1</v>
      </c>
    </row>
    <row r="3004" spans="1:9" ht="25.5" customHeight="1" x14ac:dyDescent="0.2">
      <c r="A3004" s="27">
        <v>3002</v>
      </c>
      <c r="B3004" s="29" t="s">
        <v>205</v>
      </c>
      <c r="C3004" s="29" t="str">
        <f ca="1">IFERROR(__xludf.DUMMYFUNCTION("GOOGLETRANSLATE(C440,""en"",""hr"")"),"Vijak")</f>
        <v>Vijak</v>
      </c>
      <c r="D3004" s="28" t="s">
        <v>11</v>
      </c>
      <c r="E3004" s="29">
        <v>1</v>
      </c>
      <c r="F3004" s="17"/>
    </row>
    <row r="3005" spans="1:9" ht="25.5" customHeight="1" x14ac:dyDescent="0.2">
      <c r="A3005" s="27">
        <v>3003</v>
      </c>
      <c r="B3005" s="29" t="s">
        <v>687</v>
      </c>
      <c r="C3005" s="29" t="str">
        <f ca="1">IFERROR(__xludf.DUMMYFUNCTION("GOOGLETRANSLATE(C2168,""en"",""hr"")"),"Vijak")</f>
        <v>Vijak</v>
      </c>
      <c r="D3005" s="28" t="s">
        <v>11</v>
      </c>
      <c r="E3005" s="29">
        <v>1</v>
      </c>
      <c r="F3005" s="17"/>
    </row>
    <row r="3006" spans="1:9" ht="25.5" customHeight="1" x14ac:dyDescent="0.2">
      <c r="A3006" s="27">
        <v>3004</v>
      </c>
      <c r="B3006" s="29" t="s">
        <v>1329</v>
      </c>
      <c r="C3006" s="29" t="str">
        <f ca="1">IFERROR(__xludf.DUMMYFUNCTION("GOOGLETRANSLATE(C4185,""en"",""hr"")"),"Vijak")</f>
        <v>Vijak</v>
      </c>
      <c r="D3006" s="28" t="s">
        <v>11</v>
      </c>
      <c r="E3006" s="29">
        <v>1</v>
      </c>
      <c r="F3006" s="17"/>
    </row>
    <row r="3007" spans="1:9" ht="25.5" customHeight="1" x14ac:dyDescent="0.2">
      <c r="A3007" s="27">
        <v>3005</v>
      </c>
      <c r="B3007" s="29" t="s">
        <v>612</v>
      </c>
      <c r="C3007" s="29" t="str">
        <f ca="1">IFERROR(__xludf.DUMMYFUNCTION("GOOGLETRANSLATE(C1893,""en"",""hr"")"),"Vijak")</f>
        <v>Vijak</v>
      </c>
      <c r="D3007" s="28" t="s">
        <v>11</v>
      </c>
      <c r="E3007" s="29">
        <v>1</v>
      </c>
      <c r="F3007" s="17"/>
    </row>
    <row r="3008" spans="1:9" ht="25.5" customHeight="1" x14ac:dyDescent="0.2">
      <c r="A3008" s="27">
        <v>3006</v>
      </c>
      <c r="B3008" s="29" t="s">
        <v>215</v>
      </c>
      <c r="C3008" s="29" t="str">
        <f ca="1">IFERROR(__xludf.DUMMYFUNCTION("GOOGLETRANSLATE(C456,""en"",""hr"")"),"Vijak")</f>
        <v>Vijak</v>
      </c>
      <c r="D3008" s="28" t="s">
        <v>11</v>
      </c>
      <c r="E3008" s="29">
        <v>1</v>
      </c>
      <c r="F3008" s="17"/>
    </row>
    <row r="3009" spans="1:9" ht="25.5" customHeight="1" x14ac:dyDescent="0.2">
      <c r="A3009" s="27">
        <v>3007</v>
      </c>
      <c r="B3009" s="29" t="s">
        <v>816</v>
      </c>
      <c r="C3009" s="29" t="str">
        <f ca="1">IFERROR(__xludf.DUMMYFUNCTION("GOOGLETRANSLATE(C2466,""en"",""hr"")"),"Vijak")</f>
        <v>Vijak</v>
      </c>
      <c r="D3009" s="28" t="s">
        <v>11</v>
      </c>
      <c r="E3009" s="29">
        <v>1</v>
      </c>
      <c r="F3009" s="17"/>
    </row>
    <row r="3010" spans="1:9" ht="25.5" customHeight="1" x14ac:dyDescent="0.2">
      <c r="A3010" s="27">
        <v>3008</v>
      </c>
      <c r="B3010" s="29" t="s">
        <v>381</v>
      </c>
      <c r="C3010" s="29" t="str">
        <f ca="1">IFERROR(__xludf.DUMMYFUNCTION("GOOGLETRANSLATE(C858,""en"",""hr"")"),"Vijak")</f>
        <v>Vijak</v>
      </c>
      <c r="D3010" s="28" t="s">
        <v>11</v>
      </c>
      <c r="E3010" s="29">
        <v>1</v>
      </c>
      <c r="F3010" s="17"/>
    </row>
    <row r="3011" spans="1:9" ht="25.5" customHeight="1" x14ac:dyDescent="0.2">
      <c r="A3011" s="27">
        <v>3009</v>
      </c>
      <c r="B3011" s="29" t="s">
        <v>668</v>
      </c>
      <c r="C3011" s="29" t="str">
        <f ca="1">IFERROR(__xludf.DUMMYFUNCTION("GOOGLETRANSLATE(C2102,""en"",""hr"")"),"Vijak")</f>
        <v>Vijak</v>
      </c>
      <c r="D3011" s="28" t="s">
        <v>11</v>
      </c>
      <c r="E3011" s="29">
        <v>1</v>
      </c>
      <c r="F3011" s="17"/>
    </row>
    <row r="3012" spans="1:9" ht="25.5" customHeight="1" x14ac:dyDescent="0.2">
      <c r="A3012" s="27">
        <v>3010</v>
      </c>
      <c r="B3012" s="29" t="s">
        <v>673</v>
      </c>
      <c r="C3012" s="29" t="str">
        <f ca="1">IFERROR(__xludf.DUMMYFUNCTION("GOOGLETRANSLATE(C2110,""en"",""hr"")"),"Vijak")</f>
        <v>Vijak</v>
      </c>
      <c r="D3012" s="28" t="s">
        <v>11</v>
      </c>
      <c r="E3012" s="29">
        <v>1</v>
      </c>
      <c r="F3012" s="17"/>
    </row>
    <row r="3013" spans="1:9" ht="25.5" customHeight="1" x14ac:dyDescent="0.2">
      <c r="A3013" s="27">
        <v>3011</v>
      </c>
      <c r="B3013" s="29" t="s">
        <v>1081</v>
      </c>
      <c r="C3013" s="29" t="str">
        <f ca="1">IFERROR(__xludf.DUMMYFUNCTION("GOOGLETRANSLATE(C3488,""en"",""hr"")"),"Vijak")</f>
        <v>Vijak</v>
      </c>
      <c r="D3013" s="28" t="s">
        <v>11</v>
      </c>
      <c r="E3013" s="29">
        <v>1</v>
      </c>
      <c r="F3013" s="17"/>
    </row>
    <row r="3014" spans="1:9" ht="25.5" customHeight="1" x14ac:dyDescent="0.2">
      <c r="A3014" s="27">
        <v>3012</v>
      </c>
      <c r="B3014" s="29" t="s">
        <v>672</v>
      </c>
      <c r="C3014" s="29" t="str">
        <f ca="1">IFERROR(__xludf.DUMMYFUNCTION("GOOGLETRANSLATE(C2109,""en"",""hr"")"),"Vijak")</f>
        <v>Vijak</v>
      </c>
      <c r="D3014" s="28" t="s">
        <v>11</v>
      </c>
      <c r="E3014" s="29">
        <v>1</v>
      </c>
      <c r="F3014" s="17"/>
    </row>
    <row r="3015" spans="1:9" ht="25.5" customHeight="1" x14ac:dyDescent="0.2">
      <c r="A3015" s="27">
        <v>3013</v>
      </c>
      <c r="B3015" s="29" t="s">
        <v>145</v>
      </c>
      <c r="C3015" s="29" t="str">
        <f ca="1">IFERROR(__xludf.DUMMYFUNCTION("GOOGLETRANSLATE(C284,""en"",""hr"")"),"Vijak")</f>
        <v>Vijak</v>
      </c>
      <c r="D3015" s="28" t="s">
        <v>11</v>
      </c>
      <c r="E3015" s="29">
        <v>1</v>
      </c>
      <c r="F3015" s="17"/>
    </row>
    <row r="3016" spans="1:9" ht="25.5" customHeight="1" x14ac:dyDescent="0.2">
      <c r="A3016" s="27">
        <v>3014</v>
      </c>
      <c r="B3016" s="29" t="s">
        <v>322</v>
      </c>
      <c r="C3016" s="29" t="str">
        <f ca="1">IFERROR(__xludf.DUMMYFUNCTION("GOOGLETRANSLATE(C730,""en"",""hr"")"),"Vijak")</f>
        <v>Vijak</v>
      </c>
      <c r="D3016" s="28" t="s">
        <v>11</v>
      </c>
      <c r="E3016" s="29">
        <v>1</v>
      </c>
      <c r="F3016" s="17"/>
    </row>
    <row r="3017" spans="1:9" ht="25.5" customHeight="1" x14ac:dyDescent="0.2">
      <c r="A3017" s="27">
        <v>3015</v>
      </c>
      <c r="B3017" s="29" t="s">
        <v>210</v>
      </c>
      <c r="C3017" s="29" t="str">
        <f ca="1">IFERROR(__xludf.DUMMYFUNCTION("GOOGLETRANSLATE(C446,""en"",""hr"")"),"Vijak")</f>
        <v>Vijak</v>
      </c>
      <c r="D3017" s="28" t="s">
        <v>11</v>
      </c>
      <c r="E3017" s="29">
        <v>1</v>
      </c>
      <c r="F3017" s="17"/>
    </row>
    <row r="3018" spans="1:9" ht="25.5" customHeight="1" x14ac:dyDescent="0.2">
      <c r="A3018" s="27">
        <v>3016</v>
      </c>
      <c r="B3018" s="29" t="s">
        <v>1393</v>
      </c>
      <c r="C3018" s="29" t="str">
        <f ca="1">IFERROR(__xludf.DUMMYFUNCTION("GOOGLETRANSLATE(C4471,""en"",""hr"")"),"Vijak")</f>
        <v>Vijak</v>
      </c>
      <c r="D3018" s="28" t="s">
        <v>11</v>
      </c>
      <c r="E3018" s="29">
        <v>1</v>
      </c>
      <c r="F3018" s="17"/>
    </row>
    <row r="3019" spans="1:9" ht="25.5" customHeight="1" x14ac:dyDescent="0.2">
      <c r="A3019" s="27">
        <v>3017</v>
      </c>
      <c r="B3019" s="29" t="s">
        <v>1354</v>
      </c>
      <c r="C3019" s="29" t="str">
        <f ca="1">IFERROR(__xludf.DUMMYFUNCTION("GOOGLETRANSLATE(C4294,""en"",""hr"")"),"Vijak")</f>
        <v>Vijak</v>
      </c>
      <c r="D3019" s="28" t="s">
        <v>11</v>
      </c>
      <c r="E3019" s="29">
        <v>1</v>
      </c>
      <c r="F3019" s="17"/>
    </row>
    <row r="3020" spans="1:9" ht="25.5" customHeight="1" x14ac:dyDescent="0.2">
      <c r="A3020" s="27">
        <v>3018</v>
      </c>
      <c r="B3020" s="29" t="s">
        <v>980</v>
      </c>
      <c r="C3020" s="29" t="str">
        <f ca="1">IFERROR(__xludf.DUMMYFUNCTION("GOOGLETRANSLATE(C3124,""en"",""hr"")"),"Vijak sa šesterokutnom glavom")</f>
        <v>Vijak sa šesterokutnom glavom</v>
      </c>
      <c r="D3020" s="28" t="s">
        <v>11</v>
      </c>
      <c r="E3020" s="29">
        <v>1</v>
      </c>
      <c r="F3020" s="17"/>
    </row>
    <row r="3021" spans="1:9" ht="25.5" customHeight="1" x14ac:dyDescent="0.2">
      <c r="A3021" s="27">
        <v>3019</v>
      </c>
      <c r="B3021" s="29" t="s">
        <v>967</v>
      </c>
      <c r="C3021" s="29" t="str">
        <f ca="1">IFERROR(__xludf.DUMMYFUNCTION("GOOGLETRANSLATE(C3078,""en"",""hr"")"),"Vijak")</f>
        <v>Vijak</v>
      </c>
      <c r="D3021" s="28" t="s">
        <v>11</v>
      </c>
      <c r="E3021" s="29">
        <v>1</v>
      </c>
      <c r="F3021" s="17"/>
    </row>
    <row r="3022" spans="1:9" ht="25.5" customHeight="1" x14ac:dyDescent="0.2">
      <c r="A3022" s="27">
        <v>3020</v>
      </c>
      <c r="B3022" s="29" t="s">
        <v>1710</v>
      </c>
      <c r="C3022" s="29" t="str">
        <f ca="1">IFERROR(__xludf.DUMMYFUNCTION("GOOGLETRANSLATE(C5934,""en"",""hr"")"),"Vijak")</f>
        <v>Vijak</v>
      </c>
      <c r="D3022" s="28" t="s">
        <v>11</v>
      </c>
      <c r="E3022" s="29">
        <v>1</v>
      </c>
      <c r="F3022" s="17"/>
      <c r="I3022" s="4" t="b">
        <f>INT(F3020*100)=(F3020*100)</f>
        <v>1</v>
      </c>
    </row>
    <row r="3023" spans="1:9" ht="25.5" customHeight="1" x14ac:dyDescent="0.2">
      <c r="A3023" s="27">
        <v>3021</v>
      </c>
      <c r="B3023" s="29" t="s">
        <v>992</v>
      </c>
      <c r="C3023" s="29" t="str">
        <f ca="1">IFERROR(__xludf.DUMMYFUNCTION("GOOGLETRANSLATE(C3173,""en"",""hr"")"),"Vijak")</f>
        <v>Vijak</v>
      </c>
      <c r="D3023" s="28" t="s">
        <v>11</v>
      </c>
      <c r="E3023" s="29">
        <v>1</v>
      </c>
      <c r="F3023" s="17"/>
    </row>
    <row r="3024" spans="1:9" ht="25.5" customHeight="1" x14ac:dyDescent="0.2">
      <c r="A3024" s="27">
        <v>3022</v>
      </c>
      <c r="B3024" s="29" t="s">
        <v>731</v>
      </c>
      <c r="C3024" s="29" t="str">
        <f ca="1">IFERROR(__xludf.DUMMYFUNCTION("GOOGLETRANSLATE(C2290,""en"",""hr"")"),"Vijak")</f>
        <v>Vijak</v>
      </c>
      <c r="D3024" s="28" t="s">
        <v>11</v>
      </c>
      <c r="E3024" s="29">
        <v>1</v>
      </c>
      <c r="F3024" s="17"/>
    </row>
    <row r="3025" spans="1:9" ht="25.5" customHeight="1" x14ac:dyDescent="0.2">
      <c r="A3025" s="27">
        <v>3023</v>
      </c>
      <c r="B3025" s="29" t="s">
        <v>327</v>
      </c>
      <c r="C3025" s="29" t="str">
        <f ca="1">IFERROR(__xludf.DUMMYFUNCTION("GOOGLETRANSLATE(C738,""en"",""hr"")"),"Vijak")</f>
        <v>Vijak</v>
      </c>
      <c r="D3025" s="28" t="s">
        <v>11</v>
      </c>
      <c r="E3025" s="29">
        <v>1</v>
      </c>
      <c r="F3025" s="17"/>
      <c r="I3025" s="4" t="b">
        <f>INT(F3023*100)=(F3023*100)</f>
        <v>1</v>
      </c>
    </row>
    <row r="3026" spans="1:9" ht="25.5" customHeight="1" x14ac:dyDescent="0.2">
      <c r="A3026" s="27">
        <v>3024</v>
      </c>
      <c r="B3026" s="29" t="s">
        <v>553</v>
      </c>
      <c r="C3026" s="29" t="str">
        <f ca="1">IFERROR(__xludf.DUMMYFUNCTION("GOOGLETRANSLATE(C1507,""en"",""hr"")"),"Vijak")</f>
        <v>Vijak</v>
      </c>
      <c r="D3026" s="28" t="s">
        <v>11</v>
      </c>
      <c r="E3026" s="29">
        <v>1</v>
      </c>
      <c r="F3026" s="17"/>
    </row>
    <row r="3027" spans="1:9" ht="25.5" customHeight="1" x14ac:dyDescent="0.2">
      <c r="A3027" s="27">
        <v>3025</v>
      </c>
      <c r="B3027" s="29" t="s">
        <v>1734</v>
      </c>
      <c r="C3027" s="29" t="str">
        <f ca="1">IFERROR(__xludf.DUMMYFUNCTION("GOOGLETRANSLATE(C6027,""en"",""hr"")"),"Šesterokutni vijak")</f>
        <v>Šesterokutni vijak</v>
      </c>
      <c r="D3027" s="28" t="s">
        <v>11</v>
      </c>
      <c r="E3027" s="29">
        <v>1</v>
      </c>
      <c r="F3027" s="17"/>
    </row>
    <row r="3028" spans="1:9" ht="25.5" customHeight="1" x14ac:dyDescent="0.2">
      <c r="A3028" s="27">
        <v>3026</v>
      </c>
      <c r="B3028" s="29" t="s">
        <v>190</v>
      </c>
      <c r="C3028" s="29" t="str">
        <f ca="1">IFERROR(__xludf.DUMMYFUNCTION("GOOGLETRANSLATE(C404,""en"",""hr"")"),"Vijak")</f>
        <v>Vijak</v>
      </c>
      <c r="D3028" s="28" t="s">
        <v>11</v>
      </c>
      <c r="E3028" s="29">
        <v>1</v>
      </c>
      <c r="F3028" s="17"/>
    </row>
    <row r="3029" spans="1:9" ht="25.5" customHeight="1" x14ac:dyDescent="0.2">
      <c r="A3029" s="27">
        <v>3027</v>
      </c>
      <c r="B3029" s="29" t="s">
        <v>172</v>
      </c>
      <c r="C3029" s="29" t="str">
        <f ca="1">IFERROR(__xludf.DUMMYFUNCTION("GOOGLETRANSLATE(C337,""en"",""hr"")"),"Šesterokutni vijak")</f>
        <v>Šesterokutni vijak</v>
      </c>
      <c r="D3029" s="28" t="s">
        <v>11</v>
      </c>
      <c r="E3029" s="29">
        <v>1</v>
      </c>
      <c r="F3029" s="17"/>
      <c r="I3029" s="4" t="b">
        <f>INT(F3027*100)=(F3027*100)</f>
        <v>1</v>
      </c>
    </row>
    <row r="3030" spans="1:9" ht="25.5" customHeight="1" x14ac:dyDescent="0.2">
      <c r="A3030" s="27">
        <v>3028</v>
      </c>
      <c r="B3030" s="29" t="s">
        <v>1091</v>
      </c>
      <c r="C3030" s="29" t="str">
        <f ca="1">IFERROR(__xludf.DUMMYFUNCTION("GOOGLETRANSLATE(C3515,""en"",""hr"")"),"Vijak sa šesterokutnom glavom")</f>
        <v>Vijak sa šesterokutnom glavom</v>
      </c>
      <c r="D3030" s="28" t="s">
        <v>11</v>
      </c>
      <c r="E3030" s="29">
        <v>1</v>
      </c>
      <c r="F3030" s="17"/>
    </row>
    <row r="3031" spans="1:9" ht="25.5" customHeight="1" x14ac:dyDescent="0.2">
      <c r="A3031" s="27">
        <v>3029</v>
      </c>
      <c r="B3031" s="29" t="s">
        <v>991</v>
      </c>
      <c r="C3031" s="29" t="str">
        <f ca="1">IFERROR(__xludf.DUMMYFUNCTION("GOOGLETRANSLATE(C3170,""en"",""hr"")"),"Vijak")</f>
        <v>Vijak</v>
      </c>
      <c r="D3031" s="28" t="s">
        <v>11</v>
      </c>
      <c r="E3031" s="29">
        <v>1</v>
      </c>
      <c r="F3031" s="17"/>
    </row>
    <row r="3032" spans="1:9" ht="25.5" customHeight="1" x14ac:dyDescent="0.2">
      <c r="A3032" s="27">
        <v>3030</v>
      </c>
      <c r="B3032" s="29" t="s">
        <v>334</v>
      </c>
      <c r="C3032" s="29" t="str">
        <f ca="1">IFERROR(__xludf.DUMMYFUNCTION("GOOGLETRANSLATE(C751,""en"",""hr"")"),"Vijak")</f>
        <v>Vijak</v>
      </c>
      <c r="D3032" s="28" t="s">
        <v>11</v>
      </c>
      <c r="E3032" s="29">
        <v>1</v>
      </c>
      <c r="F3032" s="17"/>
    </row>
    <row r="3033" spans="1:9" ht="25.5" customHeight="1" x14ac:dyDescent="0.2">
      <c r="A3033" s="27">
        <v>3031</v>
      </c>
      <c r="B3033" s="29" t="s">
        <v>716</v>
      </c>
      <c r="C3033" s="29" t="str">
        <f ca="1">IFERROR(__xludf.DUMMYFUNCTION("GOOGLETRANSLATE(C2261,""en"",""hr"")"),"Vijak")</f>
        <v>Vijak</v>
      </c>
      <c r="D3033" s="28" t="s">
        <v>11</v>
      </c>
      <c r="E3033" s="29">
        <v>1</v>
      </c>
      <c r="F3033" s="17"/>
    </row>
    <row r="3034" spans="1:9" ht="25.5" customHeight="1" x14ac:dyDescent="0.2">
      <c r="A3034" s="27">
        <v>3032</v>
      </c>
      <c r="B3034" s="29" t="s">
        <v>1331</v>
      </c>
      <c r="C3034" s="29" t="str">
        <f ca="1">IFERROR(__xludf.DUMMYFUNCTION("GOOGLETRANSLATE(C4194,""en"",""hr"")"),"Vijak")</f>
        <v>Vijak</v>
      </c>
      <c r="D3034" s="28" t="s">
        <v>11</v>
      </c>
      <c r="E3034" s="29">
        <v>1</v>
      </c>
      <c r="F3034" s="17"/>
    </row>
    <row r="3035" spans="1:9" ht="25.5" customHeight="1" x14ac:dyDescent="0.2">
      <c r="A3035" s="27">
        <v>3033</v>
      </c>
      <c r="B3035" s="29" t="s">
        <v>1126</v>
      </c>
      <c r="C3035" s="29" t="str">
        <f ca="1">IFERROR(__xludf.DUMMYFUNCTION("GOOGLETRANSLATE(C3663,""en"",""hr"")"),"Vijak")</f>
        <v>Vijak</v>
      </c>
      <c r="D3035" s="28" t="s">
        <v>11</v>
      </c>
      <c r="E3035" s="29">
        <v>1</v>
      </c>
      <c r="F3035" s="17"/>
    </row>
    <row r="3036" spans="1:9" ht="25.5" customHeight="1" x14ac:dyDescent="0.2">
      <c r="A3036" s="27">
        <v>3034</v>
      </c>
      <c r="B3036" s="29" t="s">
        <v>300</v>
      </c>
      <c r="C3036" s="29" t="str">
        <f ca="1">IFERROR(__xludf.DUMMYFUNCTION("GOOGLETRANSLATE(C667,""en"",""hr"")"),"Vijak")</f>
        <v>Vijak</v>
      </c>
      <c r="D3036" s="28" t="s">
        <v>11</v>
      </c>
      <c r="E3036" s="29">
        <v>1</v>
      </c>
      <c r="F3036" s="17"/>
    </row>
    <row r="3037" spans="1:9" ht="25.5" customHeight="1" x14ac:dyDescent="0.2">
      <c r="A3037" s="27">
        <v>3035</v>
      </c>
      <c r="B3037" s="29" t="s">
        <v>604</v>
      </c>
      <c r="C3037" s="29" t="str">
        <f ca="1">IFERROR(__xludf.DUMMYFUNCTION("GOOGLETRANSLATE(C1822,""en"",""hr"")"),"Vijak")</f>
        <v>Vijak</v>
      </c>
      <c r="D3037" s="28" t="s">
        <v>11</v>
      </c>
      <c r="E3037" s="29">
        <v>1</v>
      </c>
      <c r="F3037" s="17"/>
    </row>
    <row r="3038" spans="1:9" ht="25.5" customHeight="1" x14ac:dyDescent="0.2">
      <c r="A3038" s="27">
        <v>3036</v>
      </c>
      <c r="B3038" s="29" t="s">
        <v>446</v>
      </c>
      <c r="C3038" s="29" t="str">
        <f ca="1">IFERROR(__xludf.DUMMYFUNCTION("GOOGLETRANSLATE(C1069,""en"",""hr"")"),"Vijak")</f>
        <v>Vijak</v>
      </c>
      <c r="D3038" s="28" t="s">
        <v>11</v>
      </c>
      <c r="E3038" s="29">
        <v>1</v>
      </c>
      <c r="F3038" s="17"/>
    </row>
    <row r="3039" spans="1:9" ht="25.5" customHeight="1" x14ac:dyDescent="0.2">
      <c r="A3039" s="27">
        <v>3037</v>
      </c>
      <c r="B3039" s="29" t="s">
        <v>191</v>
      </c>
      <c r="C3039" s="29" t="str">
        <f ca="1">IFERROR(__xludf.DUMMYFUNCTION("GOOGLETRANSLATE(C407,""en"",""hr"")"),"Vijak")</f>
        <v>Vijak</v>
      </c>
      <c r="D3039" s="28" t="s">
        <v>11</v>
      </c>
      <c r="E3039" s="29">
        <v>1</v>
      </c>
      <c r="F3039" s="17"/>
    </row>
    <row r="3040" spans="1:9" ht="25.5" customHeight="1" x14ac:dyDescent="0.2">
      <c r="A3040" s="27">
        <v>3038</v>
      </c>
      <c r="B3040" s="29" t="s">
        <v>1839</v>
      </c>
      <c r="C3040" s="29" t="str">
        <f ca="1">IFERROR(__xludf.DUMMYFUNCTION("GOOGLETRANSLATE(C6432,""en"",""hr"")"),"Vijak")</f>
        <v>Vijak</v>
      </c>
      <c r="D3040" s="28" t="s">
        <v>11</v>
      </c>
      <c r="E3040" s="29">
        <v>1</v>
      </c>
      <c r="F3040" s="17"/>
    </row>
    <row r="3041" spans="1:9" ht="25.5" customHeight="1" x14ac:dyDescent="0.2">
      <c r="A3041" s="27">
        <v>3039</v>
      </c>
      <c r="B3041" s="29" t="s">
        <v>1310</v>
      </c>
      <c r="C3041" s="29" t="str">
        <f ca="1">IFERROR(__xludf.DUMMYFUNCTION("GOOGLETRANSLATE(C4134,""en"",""hr"")"),"Vijak")</f>
        <v>Vijak</v>
      </c>
      <c r="D3041" s="28" t="s">
        <v>11</v>
      </c>
      <c r="E3041" s="29">
        <v>1</v>
      </c>
      <c r="F3041" s="17"/>
    </row>
    <row r="3042" spans="1:9" ht="25.5" customHeight="1" x14ac:dyDescent="0.2">
      <c r="A3042" s="27">
        <v>3040</v>
      </c>
      <c r="B3042" s="29" t="s">
        <v>182</v>
      </c>
      <c r="C3042" s="29" t="str">
        <f ca="1">IFERROR(__xludf.DUMMYFUNCTION("GOOGLETRANSLATE(C368,""en"",""hr"")"),"Vijak")</f>
        <v>Vijak</v>
      </c>
      <c r="D3042" s="28" t="s">
        <v>11</v>
      </c>
      <c r="E3042" s="29">
        <v>1</v>
      </c>
      <c r="F3042" s="17"/>
    </row>
    <row r="3043" spans="1:9" ht="25.5" customHeight="1" x14ac:dyDescent="0.2">
      <c r="A3043" s="27">
        <v>3041</v>
      </c>
      <c r="B3043" s="29" t="s">
        <v>280</v>
      </c>
      <c r="C3043" s="29" t="str">
        <f ca="1">IFERROR(__xludf.DUMMYFUNCTION("GOOGLETRANSLATE(C621,""en"",""hr"")"),"Vijak")</f>
        <v>Vijak</v>
      </c>
      <c r="D3043" s="28" t="s">
        <v>11</v>
      </c>
      <c r="E3043" s="29">
        <v>1</v>
      </c>
      <c r="F3043" s="17"/>
    </row>
    <row r="3044" spans="1:9" ht="25.5" customHeight="1" x14ac:dyDescent="0.2">
      <c r="A3044" s="27">
        <v>3042</v>
      </c>
      <c r="B3044" s="29" t="s">
        <v>221</v>
      </c>
      <c r="C3044" s="29" t="str">
        <f ca="1">IFERROR(__xludf.DUMMYFUNCTION("GOOGLETRANSLATE(C470,""en"",""hr"")"),"Vijak")</f>
        <v>Vijak</v>
      </c>
      <c r="D3044" s="28" t="s">
        <v>11</v>
      </c>
      <c r="E3044" s="29">
        <v>1</v>
      </c>
      <c r="F3044" s="17"/>
    </row>
    <row r="3045" spans="1:9" ht="25.5" customHeight="1" x14ac:dyDescent="0.2">
      <c r="A3045" s="27">
        <v>3043</v>
      </c>
      <c r="B3045" s="29" t="s">
        <v>198</v>
      </c>
      <c r="C3045" s="29" t="str">
        <f ca="1">IFERROR(__xludf.DUMMYFUNCTION("GOOGLETRANSLATE(C430,""en"",""hr"")"),"Vijak")</f>
        <v>Vijak</v>
      </c>
      <c r="D3045" s="28" t="s">
        <v>11</v>
      </c>
      <c r="E3045" s="29">
        <v>1</v>
      </c>
      <c r="F3045" s="17"/>
    </row>
    <row r="3046" spans="1:9" ht="25.5" customHeight="1" x14ac:dyDescent="0.2">
      <c r="A3046" s="27">
        <v>3044</v>
      </c>
      <c r="B3046" s="29" t="s">
        <v>168</v>
      </c>
      <c r="C3046" s="29" t="str">
        <f ca="1">IFERROR(__xludf.DUMMYFUNCTION("GOOGLETRANSLATE(C324,""en"",""hr"")"),"Vijak")</f>
        <v>Vijak</v>
      </c>
      <c r="D3046" s="28" t="s">
        <v>11</v>
      </c>
      <c r="E3046" s="29">
        <v>1</v>
      </c>
      <c r="F3046" s="17"/>
    </row>
    <row r="3047" spans="1:9" ht="25.5" customHeight="1" x14ac:dyDescent="0.2">
      <c r="A3047" s="27">
        <v>3045</v>
      </c>
      <c r="B3047" s="29" t="s">
        <v>152</v>
      </c>
      <c r="C3047" s="29" t="str">
        <f ca="1">IFERROR(__xludf.DUMMYFUNCTION("GOOGLETRANSLATE(C295,""en"",""hr"")"),"Vijak")</f>
        <v>Vijak</v>
      </c>
      <c r="D3047" s="28" t="s">
        <v>11</v>
      </c>
      <c r="E3047" s="29">
        <v>1</v>
      </c>
      <c r="F3047" s="17"/>
      <c r="I3047" s="4" t="b">
        <f>INT(F3045*100)=(F3045*100)</f>
        <v>1</v>
      </c>
    </row>
    <row r="3048" spans="1:9" ht="25.5" customHeight="1" x14ac:dyDescent="0.2">
      <c r="A3048" s="27">
        <v>3046</v>
      </c>
      <c r="B3048" s="29" t="s">
        <v>521</v>
      </c>
      <c r="C3048" s="29" t="str">
        <f ca="1">IFERROR(__xludf.DUMMYFUNCTION("GOOGLETRANSLATE(C1346,""en"",""hr"")"),"Vijak")</f>
        <v>Vijak</v>
      </c>
      <c r="D3048" s="28" t="s">
        <v>11</v>
      </c>
      <c r="E3048" s="29">
        <v>1</v>
      </c>
      <c r="F3048" s="17"/>
    </row>
    <row r="3049" spans="1:9" ht="25.5" customHeight="1" x14ac:dyDescent="0.2">
      <c r="A3049" s="27">
        <v>3047</v>
      </c>
      <c r="B3049" s="29" t="s">
        <v>1214</v>
      </c>
      <c r="C3049" s="29" t="str">
        <f ca="1">IFERROR(__xludf.DUMMYFUNCTION("GOOGLETRANSLATE(C3846,""en"",""hr"")"),"Vijak")</f>
        <v>Vijak</v>
      </c>
      <c r="D3049" s="28" t="s">
        <v>11</v>
      </c>
      <c r="E3049" s="29">
        <v>1</v>
      </c>
      <c r="F3049" s="17"/>
    </row>
    <row r="3050" spans="1:9" ht="25.5" customHeight="1" x14ac:dyDescent="0.2">
      <c r="A3050" s="27">
        <v>3048</v>
      </c>
      <c r="B3050" s="29" t="s">
        <v>476</v>
      </c>
      <c r="C3050" s="29" t="str">
        <f ca="1">IFERROR(__xludf.DUMMYFUNCTION("GOOGLETRANSLATE(C1149,""en"",""hr"")"),"Vijak")</f>
        <v>Vijak</v>
      </c>
      <c r="D3050" s="28" t="s">
        <v>11</v>
      </c>
      <c r="E3050" s="29">
        <v>1</v>
      </c>
      <c r="F3050" s="17"/>
      <c r="I3050" s="4" t="b">
        <f>INT(F3048*100)=(F3048*100)</f>
        <v>1</v>
      </c>
    </row>
    <row r="3051" spans="1:9" ht="25.5" customHeight="1" x14ac:dyDescent="0.2">
      <c r="A3051" s="27">
        <v>3049</v>
      </c>
      <c r="B3051" s="29" t="s">
        <v>1403</v>
      </c>
      <c r="C3051" s="29" t="str">
        <f ca="1">IFERROR(__xludf.DUMMYFUNCTION("GOOGLETRANSLATE(C4554,""en"",""hr"")"),"Vijak")</f>
        <v>Vijak</v>
      </c>
      <c r="D3051" s="28" t="s">
        <v>11</v>
      </c>
      <c r="E3051" s="29">
        <v>1</v>
      </c>
      <c r="F3051" s="17"/>
    </row>
    <row r="3052" spans="1:9" ht="25.5" customHeight="1" x14ac:dyDescent="0.2">
      <c r="A3052" s="27">
        <v>3050</v>
      </c>
      <c r="B3052" s="29" t="s">
        <v>712</v>
      </c>
      <c r="C3052" s="29" t="str">
        <f ca="1">IFERROR(__xludf.DUMMYFUNCTION("GOOGLETRANSLATE(C2249,""en"",""hr"")"),"Vijak")</f>
        <v>Vijak</v>
      </c>
      <c r="D3052" s="28" t="s">
        <v>11</v>
      </c>
      <c r="E3052" s="29">
        <v>1</v>
      </c>
      <c r="F3052" s="17"/>
    </row>
    <row r="3053" spans="1:9" ht="25.5" customHeight="1" x14ac:dyDescent="0.2">
      <c r="A3053" s="27">
        <v>3051</v>
      </c>
      <c r="B3053" s="29" t="s">
        <v>874</v>
      </c>
      <c r="C3053" s="29" t="str">
        <f ca="1">IFERROR(__xludf.DUMMYFUNCTION("GOOGLETRANSLATE(C2563,""en"",""hr"")"),"Vijak")</f>
        <v>Vijak</v>
      </c>
      <c r="D3053" s="28" t="s">
        <v>11</v>
      </c>
      <c r="E3053" s="29">
        <v>1</v>
      </c>
      <c r="F3053" s="17"/>
    </row>
    <row r="3054" spans="1:9" ht="25.5" customHeight="1" x14ac:dyDescent="0.2">
      <c r="A3054" s="27">
        <v>3052</v>
      </c>
      <c r="B3054" s="29" t="s">
        <v>601</v>
      </c>
      <c r="C3054" s="29" t="str">
        <f ca="1">IFERROR(__xludf.DUMMYFUNCTION("GOOGLETRANSLATE(C1754,""en"",""hr"")"),"Vijak")</f>
        <v>Vijak</v>
      </c>
      <c r="D3054" s="28" t="s">
        <v>11</v>
      </c>
      <c r="E3054" s="29">
        <v>1</v>
      </c>
      <c r="F3054" s="17"/>
      <c r="I3054" s="4" t="b">
        <f>INT(F3052*100)=(F3052*100)</f>
        <v>1</v>
      </c>
    </row>
    <row r="3055" spans="1:9" ht="25.5" customHeight="1" x14ac:dyDescent="0.2">
      <c r="A3055" s="27">
        <v>3053</v>
      </c>
      <c r="B3055" s="29" t="s">
        <v>378</v>
      </c>
      <c r="C3055" s="29" t="str">
        <f ca="1">IFERROR(__xludf.DUMMYFUNCTION("GOOGLETRANSLATE(C855,""en"",""hr"")"),"Vijak")</f>
        <v>Vijak</v>
      </c>
      <c r="D3055" s="28" t="s">
        <v>11</v>
      </c>
      <c r="E3055" s="29">
        <v>1</v>
      </c>
      <c r="F3055" s="17"/>
    </row>
    <row r="3056" spans="1:9" ht="25.5" customHeight="1" x14ac:dyDescent="0.2">
      <c r="A3056" s="27">
        <v>3054</v>
      </c>
      <c r="B3056" s="29" t="s">
        <v>150</v>
      </c>
      <c r="C3056" s="29" t="str">
        <f ca="1">IFERROR(__xludf.DUMMYFUNCTION("GOOGLETRANSLATE(C290,""en"",""hr"")"),"Vijak")</f>
        <v>Vijak</v>
      </c>
      <c r="D3056" s="28" t="s">
        <v>11</v>
      </c>
      <c r="E3056" s="29">
        <v>1</v>
      </c>
      <c r="F3056" s="17"/>
    </row>
    <row r="3057" spans="1:6" ht="25.5" customHeight="1" x14ac:dyDescent="0.2">
      <c r="A3057" s="27">
        <v>3055</v>
      </c>
      <c r="B3057" s="29" t="s">
        <v>317</v>
      </c>
      <c r="C3057" s="29" t="str">
        <f ca="1">IFERROR(__xludf.DUMMYFUNCTION("GOOGLETRANSLATE(C720,""en"",""hr"")"),"Vijak")</f>
        <v>Vijak</v>
      </c>
      <c r="D3057" s="28" t="s">
        <v>11</v>
      </c>
      <c r="E3057" s="29">
        <v>1</v>
      </c>
      <c r="F3057" s="17"/>
    </row>
    <row r="3058" spans="1:6" ht="25.5" customHeight="1" x14ac:dyDescent="0.2">
      <c r="A3058" s="27">
        <v>3056</v>
      </c>
      <c r="B3058" s="29" t="s">
        <v>603</v>
      </c>
      <c r="C3058" s="29" t="str">
        <f ca="1">IFERROR(__xludf.DUMMYFUNCTION("GOOGLETRANSLATE(C1774,""en"",""hr"")"),"Vijak")</f>
        <v>Vijak</v>
      </c>
      <c r="D3058" s="28" t="s">
        <v>11</v>
      </c>
      <c r="E3058" s="29">
        <v>1</v>
      </c>
      <c r="F3058" s="17"/>
    </row>
    <row r="3059" spans="1:6" ht="25.5" customHeight="1" x14ac:dyDescent="0.2">
      <c r="A3059" s="27">
        <v>3057</v>
      </c>
      <c r="B3059" s="29" t="s">
        <v>610</v>
      </c>
      <c r="C3059" s="29" t="str">
        <f ca="1">IFERROR(__xludf.DUMMYFUNCTION("GOOGLETRANSLATE(C1888,""en"",""hr"")"),"Vijak")</f>
        <v>Vijak</v>
      </c>
      <c r="D3059" s="28" t="s">
        <v>11</v>
      </c>
      <c r="E3059" s="29">
        <v>1</v>
      </c>
      <c r="F3059" s="17"/>
    </row>
    <row r="3060" spans="1:6" ht="25.5" customHeight="1" x14ac:dyDescent="0.2">
      <c r="A3060" s="27">
        <v>3058</v>
      </c>
      <c r="B3060" s="29" t="s">
        <v>651</v>
      </c>
      <c r="C3060" s="29" t="str">
        <f ca="1">IFERROR(__xludf.DUMMYFUNCTION("GOOGLETRANSLATE(C2036,""en"",""hr"")"),"Vijak")</f>
        <v>Vijak</v>
      </c>
      <c r="D3060" s="28" t="s">
        <v>11</v>
      </c>
      <c r="E3060" s="29">
        <v>1</v>
      </c>
      <c r="F3060" s="17"/>
    </row>
    <row r="3061" spans="1:6" ht="25.5" customHeight="1" x14ac:dyDescent="0.2">
      <c r="A3061" s="27">
        <v>3059</v>
      </c>
      <c r="B3061" s="29" t="s">
        <v>1378</v>
      </c>
      <c r="C3061" s="29" t="str">
        <f ca="1">IFERROR(__xludf.DUMMYFUNCTION("GOOGLETRANSLATE(C4367,""en"",""hr"")"),"Vijak")</f>
        <v>Vijak</v>
      </c>
      <c r="D3061" s="28" t="s">
        <v>11</v>
      </c>
      <c r="E3061" s="29">
        <v>1</v>
      </c>
      <c r="F3061" s="17"/>
    </row>
    <row r="3062" spans="1:6" ht="25.5" customHeight="1" x14ac:dyDescent="0.2">
      <c r="A3062" s="27">
        <v>3060</v>
      </c>
      <c r="B3062" s="29" t="s">
        <v>539</v>
      </c>
      <c r="C3062" s="29" t="str">
        <f ca="1">IFERROR(__xludf.DUMMYFUNCTION("GOOGLETRANSLATE(C1412,""en"",""hr"")"),"Vijak")</f>
        <v>Vijak</v>
      </c>
      <c r="D3062" s="28" t="s">
        <v>11</v>
      </c>
      <c r="E3062" s="29">
        <v>1</v>
      </c>
      <c r="F3062" s="17"/>
    </row>
    <row r="3063" spans="1:6" ht="25.5" customHeight="1" x14ac:dyDescent="0.2">
      <c r="A3063" s="27">
        <v>3061</v>
      </c>
      <c r="B3063" s="29" t="s">
        <v>1116</v>
      </c>
      <c r="C3063" s="29" t="str">
        <f ca="1">IFERROR(__xludf.DUMMYFUNCTION("GOOGLETRANSLATE(C3615,""en"",""hr"")"),"Vijak")</f>
        <v>Vijak</v>
      </c>
      <c r="D3063" s="28" t="s">
        <v>11</v>
      </c>
      <c r="E3063" s="29">
        <v>1</v>
      </c>
      <c r="F3063" s="17"/>
    </row>
    <row r="3064" spans="1:6" ht="25.5" customHeight="1" x14ac:dyDescent="0.2">
      <c r="A3064" s="27">
        <v>3062</v>
      </c>
      <c r="B3064" s="29" t="s">
        <v>536</v>
      </c>
      <c r="C3064" s="29" t="str">
        <f ca="1">IFERROR(__xludf.DUMMYFUNCTION("GOOGLETRANSLATE(C1400,""en"",""hr"")"),"Vijak")</f>
        <v>Vijak</v>
      </c>
      <c r="D3064" s="28" t="s">
        <v>11</v>
      </c>
      <c r="E3064" s="29">
        <v>1</v>
      </c>
      <c r="F3064" s="17"/>
    </row>
    <row r="3065" spans="1:6" ht="25.5" customHeight="1" x14ac:dyDescent="0.2">
      <c r="A3065" s="27">
        <v>3063</v>
      </c>
      <c r="B3065" s="29" t="s">
        <v>713</v>
      </c>
      <c r="C3065" s="29" t="str">
        <f ca="1">IFERROR(__xludf.DUMMYFUNCTION("GOOGLETRANSLATE(C2251,""en"",""hr"")"),"Vijak")</f>
        <v>Vijak</v>
      </c>
      <c r="D3065" s="28" t="s">
        <v>11</v>
      </c>
      <c r="E3065" s="29">
        <v>1</v>
      </c>
      <c r="F3065" s="17"/>
    </row>
    <row r="3066" spans="1:6" ht="25.5" customHeight="1" x14ac:dyDescent="0.2">
      <c r="A3066" s="27">
        <v>3064</v>
      </c>
      <c r="B3066" s="29" t="s">
        <v>615</v>
      </c>
      <c r="C3066" s="29" t="str">
        <f ca="1">IFERROR(__xludf.DUMMYFUNCTION("GOOGLETRANSLATE(C1908,""en"",""hr"")"),"Vijak")</f>
        <v>Vijak</v>
      </c>
      <c r="D3066" s="28" t="s">
        <v>11</v>
      </c>
      <c r="E3066" s="29">
        <v>1</v>
      </c>
      <c r="F3066" s="17"/>
    </row>
    <row r="3067" spans="1:6" ht="25.5" customHeight="1" x14ac:dyDescent="0.2">
      <c r="A3067" s="27">
        <v>3065</v>
      </c>
      <c r="B3067" s="29" t="s">
        <v>945</v>
      </c>
      <c r="C3067" s="29" t="str">
        <f ca="1">IFERROR(__xludf.DUMMYFUNCTION("GOOGLETRANSLATE(C3000,""en"",""hr"")"),"Vijak")</f>
        <v>Vijak</v>
      </c>
      <c r="D3067" s="28" t="s">
        <v>11</v>
      </c>
      <c r="E3067" s="29">
        <v>1</v>
      </c>
      <c r="F3067" s="17"/>
    </row>
    <row r="3068" spans="1:6" ht="25.5" customHeight="1" x14ac:dyDescent="0.2">
      <c r="A3068" s="27">
        <v>3066</v>
      </c>
      <c r="B3068" s="29" t="s">
        <v>171</v>
      </c>
      <c r="C3068" s="29" t="str">
        <f ca="1">IFERROR(__xludf.DUMMYFUNCTION("GOOGLETRANSLATE(C332,""en"",""hr"")"),"Vijak")</f>
        <v>Vijak</v>
      </c>
      <c r="D3068" s="28" t="s">
        <v>11</v>
      </c>
      <c r="E3068" s="29">
        <v>1</v>
      </c>
      <c r="F3068" s="17"/>
    </row>
    <row r="3069" spans="1:6" ht="25.5" customHeight="1" x14ac:dyDescent="0.2">
      <c r="A3069" s="27">
        <v>3067</v>
      </c>
      <c r="B3069" s="29" t="s">
        <v>148</v>
      </c>
      <c r="C3069" s="29" t="str">
        <f ca="1">IFERROR(__xludf.DUMMYFUNCTION("GOOGLETRANSLATE(C288,""en"",""hr"")"),"Vijak")</f>
        <v>Vijak</v>
      </c>
      <c r="D3069" s="28" t="s">
        <v>11</v>
      </c>
      <c r="E3069" s="29">
        <v>1</v>
      </c>
      <c r="F3069" s="17"/>
    </row>
    <row r="3070" spans="1:6" ht="25.5" customHeight="1" x14ac:dyDescent="0.2">
      <c r="A3070" s="27">
        <v>3068</v>
      </c>
      <c r="B3070" s="29" t="s">
        <v>214</v>
      </c>
      <c r="C3070" s="29" t="str">
        <f ca="1">IFERROR(__xludf.DUMMYFUNCTION("GOOGLETRANSLATE(C450,""en"",""hr"")"),"Vijak")</f>
        <v>Vijak</v>
      </c>
      <c r="D3070" s="28" t="s">
        <v>11</v>
      </c>
      <c r="E3070" s="29">
        <v>1</v>
      </c>
      <c r="F3070" s="17"/>
    </row>
    <row r="3071" spans="1:6" ht="25.5" customHeight="1" x14ac:dyDescent="0.2">
      <c r="A3071" s="27">
        <v>3069</v>
      </c>
      <c r="B3071" s="29" t="s">
        <v>439</v>
      </c>
      <c r="C3071" s="29" t="str">
        <f ca="1">IFERROR(__xludf.DUMMYFUNCTION("GOOGLETRANSLATE(C1057,""en"",""hr"")"),"Vijak")</f>
        <v>Vijak</v>
      </c>
      <c r="D3071" s="28" t="s">
        <v>11</v>
      </c>
      <c r="E3071" s="29">
        <v>1</v>
      </c>
      <c r="F3071" s="17"/>
    </row>
    <row r="3072" spans="1:6" ht="25.5" customHeight="1" x14ac:dyDescent="0.2">
      <c r="A3072" s="27">
        <v>3070</v>
      </c>
      <c r="B3072" s="29" t="s">
        <v>678</v>
      </c>
      <c r="C3072" s="29" t="str">
        <f ca="1">IFERROR(__xludf.DUMMYFUNCTION("GOOGLETRANSLATE(C2119,""en"",""hr"")"),"Vijak")</f>
        <v>Vijak</v>
      </c>
      <c r="D3072" s="28" t="s">
        <v>11</v>
      </c>
      <c r="E3072" s="29">
        <v>1</v>
      </c>
      <c r="F3072" s="17"/>
    </row>
    <row r="3073" spans="1:9" ht="25.5" customHeight="1" x14ac:dyDescent="0.2">
      <c r="A3073" s="27">
        <v>3071</v>
      </c>
      <c r="B3073" s="29" t="s">
        <v>161</v>
      </c>
      <c r="C3073" s="29" t="str">
        <f ca="1">IFERROR(__xludf.DUMMYFUNCTION("GOOGLETRANSLATE(C311,""en"",""hr"")"),"Vijak")</f>
        <v>Vijak</v>
      </c>
      <c r="D3073" s="28" t="s">
        <v>11</v>
      </c>
      <c r="E3073" s="29">
        <v>1</v>
      </c>
      <c r="F3073" s="17"/>
      <c r="I3073" s="4" t="b">
        <f>INT(F3071*100)=(F3071*100)</f>
        <v>1</v>
      </c>
    </row>
    <row r="3074" spans="1:9" ht="25.5" customHeight="1" x14ac:dyDescent="0.2">
      <c r="A3074" s="27">
        <v>3072</v>
      </c>
      <c r="B3074" s="29" t="s">
        <v>1261</v>
      </c>
      <c r="C3074" s="29" t="str">
        <f ca="1">IFERROR(__xludf.DUMMYFUNCTION("GOOGLETRANSLATE(C3986,""en"",""hr"")"),"Vijak")</f>
        <v>Vijak</v>
      </c>
      <c r="D3074" s="28" t="s">
        <v>11</v>
      </c>
      <c r="E3074" s="29">
        <v>1</v>
      </c>
      <c r="F3074" s="17"/>
    </row>
    <row r="3075" spans="1:9" ht="25.5" customHeight="1" x14ac:dyDescent="0.2">
      <c r="A3075" s="27">
        <v>3073</v>
      </c>
      <c r="B3075" s="29" t="s">
        <v>865</v>
      </c>
      <c r="C3075" s="29" t="str">
        <f ca="1">IFERROR(__xludf.DUMMYFUNCTION("GOOGLETRANSLATE(C2538,""en"",""hr"")"),"Vijak")</f>
        <v>Vijak</v>
      </c>
      <c r="D3075" s="28" t="s">
        <v>11</v>
      </c>
      <c r="E3075" s="29">
        <v>1</v>
      </c>
      <c r="F3075" s="17"/>
    </row>
    <row r="3076" spans="1:9" ht="25.5" customHeight="1" x14ac:dyDescent="0.2">
      <c r="A3076" s="27">
        <v>3074</v>
      </c>
      <c r="B3076" s="29" t="s">
        <v>1651</v>
      </c>
      <c r="C3076" s="29" t="str">
        <f ca="1">IFERROR(__xludf.DUMMYFUNCTION("GOOGLETRANSLATE(C5608,""en"",""hr"")"),"Vijak")</f>
        <v>Vijak</v>
      </c>
      <c r="D3076" s="28" t="s">
        <v>11</v>
      </c>
      <c r="E3076" s="29">
        <v>1</v>
      </c>
      <c r="F3076" s="17"/>
      <c r="I3076" s="4" t="b">
        <f>INT(F3074*100)=(F3074*100)</f>
        <v>1</v>
      </c>
    </row>
    <row r="3077" spans="1:9" ht="25.5" customHeight="1" x14ac:dyDescent="0.2">
      <c r="A3077" s="27">
        <v>3075</v>
      </c>
      <c r="B3077" s="29" t="s">
        <v>946</v>
      </c>
      <c r="C3077" s="29" t="str">
        <f ca="1">IFERROR(__xludf.DUMMYFUNCTION("GOOGLETRANSLATE(C3001,""en"",""hr"")"),"Vijak")</f>
        <v>Vijak</v>
      </c>
      <c r="D3077" s="28" t="s">
        <v>11</v>
      </c>
      <c r="E3077" s="29">
        <v>1</v>
      </c>
      <c r="F3077" s="17"/>
    </row>
    <row r="3078" spans="1:9" ht="25.5" customHeight="1" x14ac:dyDescent="0.2">
      <c r="A3078" s="27">
        <v>3076</v>
      </c>
      <c r="B3078" s="29" t="s">
        <v>733</v>
      </c>
      <c r="C3078" s="29" t="str">
        <f ca="1">IFERROR(__xludf.DUMMYFUNCTION("GOOGLETRANSLATE(C2300,""en"",""hr"")"),"Vijak")</f>
        <v>Vijak</v>
      </c>
      <c r="D3078" s="28" t="s">
        <v>11</v>
      </c>
      <c r="E3078" s="29">
        <v>1</v>
      </c>
      <c r="F3078" s="17"/>
    </row>
    <row r="3079" spans="1:9" ht="25.5" customHeight="1" x14ac:dyDescent="0.2">
      <c r="A3079" s="27">
        <v>3077</v>
      </c>
      <c r="B3079" s="29" t="s">
        <v>933</v>
      </c>
      <c r="C3079" s="29" t="str">
        <f ca="1">IFERROR(__xludf.DUMMYFUNCTION("GOOGLETRANSLATE(C2850,""en"",""hr"")"),"Vijak")</f>
        <v>Vijak</v>
      </c>
      <c r="D3079" s="28" t="s">
        <v>11</v>
      </c>
      <c r="E3079" s="29">
        <v>1</v>
      </c>
      <c r="F3079" s="17"/>
    </row>
    <row r="3080" spans="1:9" ht="25.5" customHeight="1" x14ac:dyDescent="0.2">
      <c r="A3080" s="27">
        <v>3078</v>
      </c>
      <c r="B3080" s="29" t="s">
        <v>719</v>
      </c>
      <c r="C3080" s="29" t="str">
        <f ca="1">IFERROR(__xludf.DUMMYFUNCTION("GOOGLETRANSLATE(C2271,""en"",""hr"")"),"Vijak")</f>
        <v>Vijak</v>
      </c>
      <c r="D3080" s="28" t="s">
        <v>11</v>
      </c>
      <c r="E3080" s="29">
        <v>1</v>
      </c>
      <c r="F3080" s="17"/>
      <c r="I3080" s="4" t="b">
        <f>INT(F3078*100)=(F3078*100)</f>
        <v>1</v>
      </c>
    </row>
    <row r="3081" spans="1:9" ht="25.5" customHeight="1" x14ac:dyDescent="0.2">
      <c r="A3081" s="27">
        <v>3079</v>
      </c>
      <c r="B3081" s="29" t="s">
        <v>807</v>
      </c>
      <c r="C3081" s="29" t="str">
        <f ca="1">IFERROR(__xludf.DUMMYFUNCTION("GOOGLETRANSLATE(C2451,""en"",""hr"")"),"Vijak")</f>
        <v>Vijak</v>
      </c>
      <c r="D3081" s="28" t="s">
        <v>11</v>
      </c>
      <c r="E3081" s="29">
        <v>1</v>
      </c>
      <c r="F3081" s="17"/>
    </row>
    <row r="3082" spans="1:9" ht="25.5" customHeight="1" x14ac:dyDescent="0.2">
      <c r="A3082" s="27">
        <v>3080</v>
      </c>
      <c r="B3082" s="29" t="s">
        <v>389</v>
      </c>
      <c r="C3082" s="29" t="str">
        <f ca="1">IFERROR(__xludf.DUMMYFUNCTION("GOOGLETRANSLATE(C912,""en"",""hr"")"),"Vijak")</f>
        <v>Vijak</v>
      </c>
      <c r="D3082" s="28" t="s">
        <v>11</v>
      </c>
      <c r="E3082" s="29">
        <v>1</v>
      </c>
      <c r="F3082" s="17"/>
    </row>
    <row r="3083" spans="1:9" ht="25.5" customHeight="1" x14ac:dyDescent="0.2">
      <c r="A3083" s="27">
        <v>3081</v>
      </c>
      <c r="B3083" s="29" t="s">
        <v>379</v>
      </c>
      <c r="C3083" s="29" t="str">
        <f ca="1">IFERROR(__xludf.DUMMYFUNCTION("GOOGLETRANSLATE(C856,""en"",""hr"")"),"Vijak")</f>
        <v>Vijak</v>
      </c>
      <c r="D3083" s="28" t="s">
        <v>11</v>
      </c>
      <c r="E3083" s="29">
        <v>1</v>
      </c>
      <c r="F3083" s="17"/>
    </row>
    <row r="3084" spans="1:9" ht="25.5" customHeight="1" x14ac:dyDescent="0.2">
      <c r="A3084" s="27">
        <v>3082</v>
      </c>
      <c r="B3084" s="29" t="s">
        <v>866</v>
      </c>
      <c r="C3084" s="29" t="str">
        <f ca="1">IFERROR(__xludf.DUMMYFUNCTION("GOOGLETRANSLATE(C2540,""en"",""hr"")"),"Vijak")</f>
        <v>Vijak</v>
      </c>
      <c r="D3084" s="28" t="s">
        <v>11</v>
      </c>
      <c r="E3084" s="29">
        <v>1</v>
      </c>
      <c r="F3084" s="17"/>
    </row>
    <row r="3085" spans="1:9" ht="25.5" customHeight="1" x14ac:dyDescent="0.2">
      <c r="A3085" s="27">
        <v>3083</v>
      </c>
      <c r="B3085" s="29" t="s">
        <v>676</v>
      </c>
      <c r="C3085" s="29" t="str">
        <f ca="1">IFERROR(__xludf.DUMMYFUNCTION("GOOGLETRANSLATE(C2116,""en"",""hr"")"),"Vijak")</f>
        <v>Vijak</v>
      </c>
      <c r="D3085" s="28" t="s">
        <v>11</v>
      </c>
      <c r="E3085" s="29">
        <v>1</v>
      </c>
      <c r="F3085" s="17"/>
    </row>
    <row r="3086" spans="1:9" ht="25.5" customHeight="1" x14ac:dyDescent="0.2">
      <c r="A3086" s="27">
        <v>3084</v>
      </c>
      <c r="B3086" s="29" t="s">
        <v>543</v>
      </c>
      <c r="C3086" s="29" t="str">
        <f ca="1">IFERROR(__xludf.DUMMYFUNCTION("GOOGLETRANSLATE(C1436,""en"",""hr"")"),"Vijak")</f>
        <v>Vijak</v>
      </c>
      <c r="D3086" s="28" t="s">
        <v>11</v>
      </c>
      <c r="E3086" s="29">
        <v>1</v>
      </c>
      <c r="F3086" s="17"/>
    </row>
    <row r="3087" spans="1:9" ht="25.5" customHeight="1" x14ac:dyDescent="0.2">
      <c r="A3087" s="27">
        <v>3085</v>
      </c>
      <c r="B3087" s="29" t="s">
        <v>472</v>
      </c>
      <c r="C3087" s="29" t="str">
        <f ca="1">IFERROR(__xludf.DUMMYFUNCTION("GOOGLETRANSLATE(C1131,""en"",""hr"")"),"Vijak")</f>
        <v>Vijak</v>
      </c>
      <c r="D3087" s="28" t="s">
        <v>11</v>
      </c>
      <c r="E3087" s="29">
        <v>1</v>
      </c>
      <c r="F3087" s="17"/>
    </row>
    <row r="3088" spans="1:9" ht="25.5" customHeight="1" x14ac:dyDescent="0.2">
      <c r="A3088" s="27">
        <v>3086</v>
      </c>
      <c r="B3088" s="29" t="s">
        <v>657</v>
      </c>
      <c r="C3088" s="29" t="str">
        <f ca="1">IFERROR(__xludf.DUMMYFUNCTION("GOOGLETRANSLATE(C2068,""en"",""hr"")"),"Vijak sa šesterokutnom glavom")</f>
        <v>Vijak sa šesterokutnom glavom</v>
      </c>
      <c r="D3088" s="28" t="s">
        <v>11</v>
      </c>
      <c r="E3088" s="29">
        <v>1</v>
      </c>
      <c r="F3088" s="17"/>
    </row>
    <row r="3089" spans="1:9" ht="25.5" customHeight="1" x14ac:dyDescent="0.2">
      <c r="A3089" s="27">
        <v>3087</v>
      </c>
      <c r="B3089" s="29" t="s">
        <v>1719</v>
      </c>
      <c r="C3089" s="29" t="str">
        <f ca="1">IFERROR(__xludf.DUMMYFUNCTION("GOOGLETRANSLATE(C5972,""en"",""hr"")"),"Vijak")</f>
        <v>Vijak</v>
      </c>
      <c r="D3089" s="28" t="s">
        <v>11</v>
      </c>
      <c r="E3089" s="29">
        <v>1</v>
      </c>
      <c r="F3089" s="17"/>
    </row>
    <row r="3090" spans="1:9" ht="25.5" customHeight="1" x14ac:dyDescent="0.2">
      <c r="A3090" s="27">
        <v>3088</v>
      </c>
      <c r="B3090" s="29" t="s">
        <v>1390</v>
      </c>
      <c r="C3090" s="29" t="str">
        <f ca="1">IFERROR(__xludf.DUMMYFUNCTION("GOOGLETRANSLATE(C4443,""en"",""hr"")"),"Vijak")</f>
        <v>Vijak</v>
      </c>
      <c r="D3090" s="28" t="s">
        <v>11</v>
      </c>
      <c r="E3090" s="29">
        <v>1</v>
      </c>
      <c r="F3090" s="17"/>
    </row>
    <row r="3091" spans="1:9" ht="25.5" customHeight="1" x14ac:dyDescent="0.2">
      <c r="A3091" s="27">
        <v>3089</v>
      </c>
      <c r="B3091" s="29" t="s">
        <v>1913</v>
      </c>
      <c r="C3091" s="29" t="str">
        <f ca="1">IFERROR(__xludf.DUMMYFUNCTION("GOOGLETRANSLATE(C6672,""en"",""hr"")"),"Vijak")</f>
        <v>Vijak</v>
      </c>
      <c r="D3091" s="28" t="s">
        <v>11</v>
      </c>
      <c r="E3091" s="29">
        <v>1</v>
      </c>
      <c r="F3091" s="17"/>
    </row>
    <row r="3092" spans="1:9" ht="25.5" customHeight="1" x14ac:dyDescent="0.2">
      <c r="A3092" s="27">
        <v>3090</v>
      </c>
      <c r="B3092" s="29" t="s">
        <v>674</v>
      </c>
      <c r="C3092" s="29" t="str">
        <f ca="1">IFERROR(__xludf.DUMMYFUNCTION("GOOGLETRANSLATE(C2111,""en"",""hr"")"),"Vijak")</f>
        <v>Vijak</v>
      </c>
      <c r="D3092" s="28" t="s">
        <v>11</v>
      </c>
      <c r="E3092" s="29">
        <v>1</v>
      </c>
      <c r="F3092" s="17"/>
    </row>
    <row r="3093" spans="1:9" ht="25.5" customHeight="1" x14ac:dyDescent="0.2">
      <c r="A3093" s="27">
        <v>3091</v>
      </c>
      <c r="B3093" s="29" t="s">
        <v>1330</v>
      </c>
      <c r="C3093" s="29" t="str">
        <f ca="1">IFERROR(__xludf.DUMMYFUNCTION("GOOGLETRANSLATE(C4193,""en"",""hr"")"),"Vijak")</f>
        <v>Vijak</v>
      </c>
      <c r="D3093" s="28" t="s">
        <v>11</v>
      </c>
      <c r="E3093" s="29">
        <v>1</v>
      </c>
      <c r="F3093" s="17"/>
    </row>
    <row r="3094" spans="1:9" ht="25.5" customHeight="1" x14ac:dyDescent="0.2">
      <c r="A3094" s="27">
        <v>3092</v>
      </c>
      <c r="B3094" s="29" t="s">
        <v>913</v>
      </c>
      <c r="C3094" s="29" t="str">
        <f ca="1">IFERROR(__xludf.DUMMYFUNCTION("GOOGLETRANSLATE(C2743,""en"",""hr"")"),"Vijak")</f>
        <v>Vijak</v>
      </c>
      <c r="D3094" s="28" t="s">
        <v>11</v>
      </c>
      <c r="E3094" s="29">
        <v>1</v>
      </c>
      <c r="F3094" s="17"/>
    </row>
    <row r="3095" spans="1:9" ht="25.5" customHeight="1" x14ac:dyDescent="0.2">
      <c r="A3095" s="27">
        <v>3093</v>
      </c>
      <c r="B3095" s="29" t="s">
        <v>1463</v>
      </c>
      <c r="C3095" s="29" t="str">
        <f ca="1">IFERROR(__xludf.DUMMYFUNCTION("GOOGLETRANSLATE(C4885,""en"",""hr"")"),"Vijak")</f>
        <v>Vijak</v>
      </c>
      <c r="D3095" s="28" t="s">
        <v>11</v>
      </c>
      <c r="E3095" s="29">
        <v>1</v>
      </c>
      <c r="F3095" s="17"/>
    </row>
    <row r="3096" spans="1:9" ht="25.5" customHeight="1" x14ac:dyDescent="0.2">
      <c r="A3096" s="27">
        <v>3094</v>
      </c>
      <c r="B3096" s="29" t="s">
        <v>1663</v>
      </c>
      <c r="C3096" s="29" t="str">
        <f ca="1">IFERROR(__xludf.DUMMYFUNCTION("GOOGLETRANSLATE(C5656,""en"",""hr"")"),"Vijak")</f>
        <v>Vijak</v>
      </c>
      <c r="D3096" s="28" t="s">
        <v>11</v>
      </c>
      <c r="E3096" s="29">
        <v>1</v>
      </c>
      <c r="F3096" s="17"/>
    </row>
    <row r="3097" spans="1:9" ht="25.5" customHeight="1" x14ac:dyDescent="0.2">
      <c r="A3097" s="27">
        <v>3095</v>
      </c>
      <c r="B3097" s="29" t="s">
        <v>1465</v>
      </c>
      <c r="C3097" s="29" t="str">
        <f ca="1">IFERROR(__xludf.DUMMYFUNCTION("GOOGLETRANSLATE(C4887,""en"",""hr"")"),"Vijak")</f>
        <v>Vijak</v>
      </c>
      <c r="D3097" s="28" t="s">
        <v>11</v>
      </c>
      <c r="E3097" s="29">
        <v>1</v>
      </c>
      <c r="F3097" s="17"/>
    </row>
    <row r="3098" spans="1:9" ht="25.5" customHeight="1" x14ac:dyDescent="0.2">
      <c r="A3098" s="27">
        <v>3096</v>
      </c>
      <c r="B3098" s="29" t="s">
        <v>527</v>
      </c>
      <c r="C3098" s="29" t="str">
        <f ca="1">IFERROR(__xludf.DUMMYFUNCTION("GOOGLETRANSLATE(C1373,""en"",""hr"")"),"Vijak")</f>
        <v>Vijak</v>
      </c>
      <c r="D3098" s="28" t="s">
        <v>11</v>
      </c>
      <c r="E3098" s="29">
        <v>1</v>
      </c>
      <c r="F3098" s="17"/>
      <c r="I3098" s="4" t="b">
        <f>INT(F3096*100)=(F3096*100)</f>
        <v>1</v>
      </c>
    </row>
    <row r="3099" spans="1:9" ht="25.5" customHeight="1" x14ac:dyDescent="0.2">
      <c r="A3099" s="27">
        <v>3097</v>
      </c>
      <c r="B3099" s="29" t="s">
        <v>410</v>
      </c>
      <c r="C3099" s="29" t="str">
        <f ca="1">IFERROR(__xludf.DUMMYFUNCTION("GOOGLETRANSLATE(C964,""en"",""hr"")"),"Vijak")</f>
        <v>Vijak</v>
      </c>
      <c r="D3099" s="28" t="s">
        <v>11</v>
      </c>
      <c r="E3099" s="29">
        <v>1</v>
      </c>
      <c r="F3099" s="17"/>
    </row>
    <row r="3100" spans="1:9" ht="25.5" customHeight="1" x14ac:dyDescent="0.2">
      <c r="A3100" s="27">
        <v>3098</v>
      </c>
      <c r="B3100" s="29" t="s">
        <v>174</v>
      </c>
      <c r="C3100" s="29" t="str">
        <f ca="1">IFERROR(__xludf.DUMMYFUNCTION("GOOGLETRANSLATE(C341,""en"",""hr"")"),"Vijak")</f>
        <v>Vijak</v>
      </c>
      <c r="D3100" s="28" t="s">
        <v>11</v>
      </c>
      <c r="E3100" s="29">
        <v>1</v>
      </c>
      <c r="F3100" s="17"/>
    </row>
    <row r="3101" spans="1:9" ht="25.5" customHeight="1" x14ac:dyDescent="0.2">
      <c r="A3101" s="27">
        <v>3099</v>
      </c>
      <c r="B3101" s="29" t="s">
        <v>411</v>
      </c>
      <c r="C3101" s="29" t="str">
        <f ca="1">IFERROR(__xludf.DUMMYFUNCTION("GOOGLETRANSLATE(C966,""en"",""hr"")"),"Vijak")</f>
        <v>Vijak</v>
      </c>
      <c r="D3101" s="28" t="s">
        <v>11</v>
      </c>
      <c r="E3101" s="29">
        <v>1</v>
      </c>
      <c r="F3101" s="17"/>
      <c r="I3101" s="4" t="b">
        <f>INT(F3099*100)=(F3099*100)</f>
        <v>1</v>
      </c>
    </row>
    <row r="3102" spans="1:9" ht="25.5" customHeight="1" x14ac:dyDescent="0.2">
      <c r="A3102" s="27">
        <v>3100</v>
      </c>
      <c r="B3102" s="29" t="s">
        <v>1852</v>
      </c>
      <c r="C3102" s="29" t="str">
        <f ca="1">IFERROR(__xludf.DUMMYFUNCTION("GOOGLETRANSLATE(C6500,""en"",""hr"")"),"Vijak")</f>
        <v>Vijak</v>
      </c>
      <c r="D3102" s="28" t="s">
        <v>11</v>
      </c>
      <c r="E3102" s="29">
        <v>1</v>
      </c>
      <c r="F3102" s="17"/>
    </row>
    <row r="3103" spans="1:9" ht="25.5" customHeight="1" x14ac:dyDescent="0.2">
      <c r="A3103" s="27">
        <v>3101</v>
      </c>
      <c r="B3103" s="29" t="s">
        <v>1367</v>
      </c>
      <c r="C3103" s="29" t="str">
        <f ca="1">IFERROR(__xludf.DUMMYFUNCTION("GOOGLETRANSLATE(C4342,""en"",""hr"")"),"Vijak")</f>
        <v>Vijak</v>
      </c>
      <c r="D3103" s="28" t="s">
        <v>11</v>
      </c>
      <c r="E3103" s="29">
        <v>1</v>
      </c>
      <c r="F3103" s="17"/>
    </row>
    <row r="3104" spans="1:9" ht="25.5" customHeight="1" x14ac:dyDescent="0.2">
      <c r="A3104" s="27">
        <v>3102</v>
      </c>
      <c r="B3104" s="29" t="s">
        <v>496</v>
      </c>
      <c r="C3104" s="29" t="str">
        <f ca="1">IFERROR(__xludf.DUMMYFUNCTION("GOOGLETRANSLATE(C1211,""en"",""hr"")"),"Vijak")</f>
        <v>Vijak</v>
      </c>
      <c r="D3104" s="28" t="s">
        <v>11</v>
      </c>
      <c r="E3104" s="29">
        <v>1</v>
      </c>
      <c r="F3104" s="17"/>
    </row>
    <row r="3105" spans="1:9" ht="25.5" customHeight="1" x14ac:dyDescent="0.2">
      <c r="A3105" s="27">
        <v>3103</v>
      </c>
      <c r="B3105" s="29" t="s">
        <v>498</v>
      </c>
      <c r="C3105" s="29" t="str">
        <f ca="1">IFERROR(__xludf.DUMMYFUNCTION("GOOGLETRANSLATE(C1235,""en"",""hr"")"),"Vijak")</f>
        <v>Vijak</v>
      </c>
      <c r="D3105" s="28" t="s">
        <v>11</v>
      </c>
      <c r="E3105" s="29">
        <v>1</v>
      </c>
      <c r="F3105" s="17"/>
      <c r="I3105" s="4" t="b">
        <f>INT(F3103*100)=(F3103*100)</f>
        <v>1</v>
      </c>
    </row>
    <row r="3106" spans="1:9" ht="25.5" customHeight="1" x14ac:dyDescent="0.2">
      <c r="A3106" s="27">
        <v>3104</v>
      </c>
      <c r="B3106" s="29" t="s">
        <v>561</v>
      </c>
      <c r="C3106" s="29" t="str">
        <f ca="1">IFERROR(__xludf.DUMMYFUNCTION("GOOGLETRANSLATE(C1566,""en"",""hr"")"),"Vijak")</f>
        <v>Vijak</v>
      </c>
      <c r="D3106" s="28" t="s">
        <v>11</v>
      </c>
      <c r="E3106" s="29">
        <v>1</v>
      </c>
      <c r="F3106" s="17"/>
    </row>
    <row r="3107" spans="1:9" ht="25.5" customHeight="1" x14ac:dyDescent="0.2">
      <c r="A3107" s="27">
        <v>3105</v>
      </c>
      <c r="B3107" s="29" t="s">
        <v>650</v>
      </c>
      <c r="C3107" s="29" t="str">
        <f ca="1">IFERROR(__xludf.DUMMYFUNCTION("GOOGLETRANSLATE(C2027,""en"",""hr"")"),"Vijak")</f>
        <v>Vijak</v>
      </c>
      <c r="D3107" s="28" t="s">
        <v>11</v>
      </c>
      <c r="E3107" s="29">
        <v>1</v>
      </c>
      <c r="F3107" s="17"/>
    </row>
    <row r="3108" spans="1:9" ht="25.5" customHeight="1" x14ac:dyDescent="0.2">
      <c r="A3108" s="27">
        <v>3106</v>
      </c>
      <c r="B3108" s="29" t="s">
        <v>560</v>
      </c>
      <c r="C3108" s="29" t="str">
        <f ca="1">IFERROR(__xludf.DUMMYFUNCTION("GOOGLETRANSLATE(C1562,""en"",""hr"")"),"Vijak")</f>
        <v>Vijak</v>
      </c>
      <c r="D3108" s="28" t="s">
        <v>11</v>
      </c>
      <c r="E3108" s="29">
        <v>1</v>
      </c>
      <c r="F3108" s="17"/>
    </row>
    <row r="3109" spans="1:9" ht="25.5" customHeight="1" x14ac:dyDescent="0.2">
      <c r="A3109" s="27">
        <v>3107</v>
      </c>
      <c r="B3109" s="29" t="s">
        <v>1022</v>
      </c>
      <c r="C3109" s="29" t="str">
        <f ca="1">IFERROR(__xludf.DUMMYFUNCTION("GOOGLETRANSLATE(C3311,""en"",""hr"")"),"Vijak")</f>
        <v>Vijak</v>
      </c>
      <c r="D3109" s="28" t="s">
        <v>11</v>
      </c>
      <c r="E3109" s="29">
        <v>1</v>
      </c>
      <c r="F3109" s="17"/>
    </row>
    <row r="3110" spans="1:9" ht="25.5" customHeight="1" x14ac:dyDescent="0.2">
      <c r="A3110" s="27">
        <v>3108</v>
      </c>
      <c r="B3110" s="29" t="s">
        <v>1020</v>
      </c>
      <c r="C3110" s="29" t="str">
        <f ca="1">IFERROR(__xludf.DUMMYFUNCTION("GOOGLETRANSLATE(C3293,""en"",""hr"")"),"Vijak")</f>
        <v>Vijak</v>
      </c>
      <c r="D3110" s="28" t="s">
        <v>11</v>
      </c>
      <c r="E3110" s="29">
        <v>1</v>
      </c>
      <c r="F3110" s="17"/>
    </row>
    <row r="3111" spans="1:9" ht="25.5" customHeight="1" x14ac:dyDescent="0.2">
      <c r="A3111" s="27">
        <v>3109</v>
      </c>
      <c r="B3111" s="29" t="s">
        <v>1359</v>
      </c>
      <c r="C3111" s="29" t="str">
        <f ca="1">IFERROR(__xludf.DUMMYFUNCTION("GOOGLETRANSLATE(C4317,""en"",""hr"")"),"Vijak")</f>
        <v>Vijak</v>
      </c>
      <c r="D3111" s="28" t="s">
        <v>11</v>
      </c>
      <c r="E3111" s="29">
        <v>1</v>
      </c>
      <c r="F3111" s="17"/>
    </row>
    <row r="3112" spans="1:9" ht="25.5" customHeight="1" x14ac:dyDescent="0.2">
      <c r="A3112" s="27">
        <v>3110</v>
      </c>
      <c r="B3112" s="29" t="s">
        <v>1015</v>
      </c>
      <c r="C3112" s="29" t="str">
        <f ca="1">IFERROR(__xludf.DUMMYFUNCTION("GOOGLETRANSLATE(C3286,""en"",""hr"")"),"Vijak")</f>
        <v>Vijak</v>
      </c>
      <c r="D3112" s="28" t="s">
        <v>11</v>
      </c>
      <c r="E3112" s="29">
        <v>1</v>
      </c>
      <c r="F3112" s="17"/>
    </row>
    <row r="3113" spans="1:9" ht="25.5" customHeight="1" x14ac:dyDescent="0.2">
      <c r="A3113" s="27">
        <v>3111</v>
      </c>
      <c r="B3113" s="29" t="s">
        <v>1915</v>
      </c>
      <c r="C3113" s="29" t="str">
        <f ca="1">IFERROR(__xludf.DUMMYFUNCTION("GOOGLETRANSLATE(C6674,""en"",""hr"")"),"Vijak")</f>
        <v>Vijak</v>
      </c>
      <c r="D3113" s="28" t="s">
        <v>11</v>
      </c>
      <c r="E3113" s="29">
        <v>1</v>
      </c>
      <c r="F3113" s="17"/>
    </row>
    <row r="3114" spans="1:9" ht="25.5" customHeight="1" x14ac:dyDescent="0.2">
      <c r="A3114" s="27">
        <v>3112</v>
      </c>
      <c r="B3114" s="29" t="s">
        <v>230</v>
      </c>
      <c r="C3114" s="29" t="str">
        <f ca="1">IFERROR(__xludf.DUMMYFUNCTION("GOOGLETRANSLATE(C481,""en"",""hr"")"),"Vijak")</f>
        <v>Vijak</v>
      </c>
      <c r="D3114" s="28" t="s">
        <v>11</v>
      </c>
      <c r="E3114" s="29">
        <v>1</v>
      </c>
      <c r="F3114" s="17"/>
    </row>
    <row r="3115" spans="1:9" ht="25.5" customHeight="1" x14ac:dyDescent="0.2">
      <c r="A3115" s="27">
        <v>3113</v>
      </c>
      <c r="B3115" s="29" t="s">
        <v>310</v>
      </c>
      <c r="C3115" s="29" t="str">
        <f ca="1">IFERROR(__xludf.DUMMYFUNCTION("GOOGLETRANSLATE(C689,""en"",""hr"")"),"Vijak")</f>
        <v>Vijak</v>
      </c>
      <c r="D3115" s="28" t="s">
        <v>11</v>
      </c>
      <c r="E3115" s="29">
        <v>1</v>
      </c>
      <c r="F3115" s="17"/>
    </row>
    <row r="3116" spans="1:9" ht="25.5" customHeight="1" x14ac:dyDescent="0.2">
      <c r="A3116" s="27">
        <v>3114</v>
      </c>
      <c r="B3116" s="29" t="s">
        <v>283</v>
      </c>
      <c r="C3116" s="29" t="str">
        <f ca="1">IFERROR(__xludf.DUMMYFUNCTION("GOOGLETRANSLATE(C628,""en"",""hr"")"),"Vijak")</f>
        <v>Vijak</v>
      </c>
      <c r="D3116" s="28" t="s">
        <v>11</v>
      </c>
      <c r="E3116" s="29">
        <v>1</v>
      </c>
      <c r="F3116" s="17"/>
    </row>
    <row r="3117" spans="1:9" ht="25.5" customHeight="1" x14ac:dyDescent="0.2">
      <c r="A3117" s="27">
        <v>3115</v>
      </c>
      <c r="B3117" s="29" t="s">
        <v>220</v>
      </c>
      <c r="C3117" s="29" t="str">
        <f ca="1">IFERROR(__xludf.DUMMYFUNCTION("GOOGLETRANSLATE(C464,""en"",""hr"")"),"Vijak")</f>
        <v>Vijak</v>
      </c>
      <c r="D3117" s="28" t="s">
        <v>11</v>
      </c>
      <c r="E3117" s="29">
        <v>1</v>
      </c>
      <c r="F3117" s="17"/>
    </row>
    <row r="3118" spans="1:9" ht="25.5" customHeight="1" x14ac:dyDescent="0.2">
      <c r="A3118" s="27">
        <v>3116</v>
      </c>
      <c r="B3118" s="29" t="s">
        <v>477</v>
      </c>
      <c r="C3118" s="29" t="str">
        <f ca="1">IFERROR(__xludf.DUMMYFUNCTION("GOOGLETRANSLATE(C1150,""en"",""hr"")"),"Vijak")</f>
        <v>Vijak</v>
      </c>
      <c r="D3118" s="28" t="s">
        <v>11</v>
      </c>
      <c r="E3118" s="29">
        <v>1</v>
      </c>
      <c r="F3118" s="17"/>
    </row>
    <row r="3119" spans="1:9" ht="25.5" customHeight="1" x14ac:dyDescent="0.2">
      <c r="A3119" s="27">
        <v>3117</v>
      </c>
      <c r="B3119" s="29" t="s">
        <v>412</v>
      </c>
      <c r="C3119" s="29" t="str">
        <f ca="1">IFERROR(__xludf.DUMMYFUNCTION("GOOGLETRANSLATE(C969,""en"",""hr"")"),"Vijak")</f>
        <v>Vijak</v>
      </c>
      <c r="D3119" s="28" t="s">
        <v>11</v>
      </c>
      <c r="E3119" s="29">
        <v>1</v>
      </c>
      <c r="F3119" s="17"/>
    </row>
    <row r="3120" spans="1:9" ht="25.5" customHeight="1" x14ac:dyDescent="0.2">
      <c r="A3120" s="27">
        <v>3118</v>
      </c>
      <c r="B3120" s="29" t="s">
        <v>630</v>
      </c>
      <c r="C3120" s="29" t="str">
        <f ca="1">IFERROR(__xludf.DUMMYFUNCTION("GOOGLETRANSLATE(C1940,""en"",""hr"")"),"Vijak sa šesterokutnom glavom")</f>
        <v>Vijak sa šesterokutnom glavom</v>
      </c>
      <c r="D3120" s="28" t="s">
        <v>11</v>
      </c>
      <c r="E3120" s="29">
        <v>1</v>
      </c>
      <c r="F3120" s="17"/>
    </row>
    <row r="3121" spans="1:9" ht="25.5" customHeight="1" x14ac:dyDescent="0.2">
      <c r="A3121" s="27">
        <v>3119</v>
      </c>
      <c r="B3121" s="29" t="s">
        <v>1226</v>
      </c>
      <c r="C3121" s="29" t="str">
        <f ca="1">IFERROR(__xludf.DUMMYFUNCTION("GOOGLETRANSLATE(C3891,""en"",""hr"")"),"Vijak")</f>
        <v>Vijak</v>
      </c>
      <c r="D3121" s="28" t="s">
        <v>11</v>
      </c>
      <c r="E3121" s="29">
        <v>1</v>
      </c>
      <c r="F3121" s="17"/>
    </row>
    <row r="3122" spans="1:9" ht="25.5" customHeight="1" x14ac:dyDescent="0.2">
      <c r="A3122" s="27">
        <v>3120</v>
      </c>
      <c r="B3122" s="29" t="s">
        <v>631</v>
      </c>
      <c r="C3122" s="29" t="str">
        <f ca="1">IFERROR(__xludf.DUMMYFUNCTION("GOOGLETRANSLATE(C1942,""en"",""hr"")"),"Vijak sa šesterokutnom glavom")</f>
        <v>Vijak sa šesterokutnom glavom</v>
      </c>
      <c r="D3122" s="28" t="s">
        <v>11</v>
      </c>
      <c r="E3122" s="29">
        <v>1</v>
      </c>
      <c r="F3122" s="17"/>
    </row>
    <row r="3123" spans="1:9" ht="25.5" customHeight="1" x14ac:dyDescent="0.2">
      <c r="A3123" s="27">
        <v>3121</v>
      </c>
      <c r="B3123" s="29" t="s">
        <v>613</v>
      </c>
      <c r="C3123" s="29" t="str">
        <f ca="1">IFERROR(__xludf.DUMMYFUNCTION("GOOGLETRANSLATE(C1902,""en"",""hr"")"),"Vijak")</f>
        <v>Vijak</v>
      </c>
      <c r="D3123" s="28" t="s">
        <v>11</v>
      </c>
      <c r="E3123" s="29">
        <v>1</v>
      </c>
      <c r="F3123" s="17"/>
    </row>
    <row r="3124" spans="1:9" ht="25.5" customHeight="1" x14ac:dyDescent="0.2">
      <c r="A3124" s="27">
        <v>3122</v>
      </c>
      <c r="B3124" s="29" t="s">
        <v>1714</v>
      </c>
      <c r="C3124" s="29" t="str">
        <f ca="1">IFERROR(__xludf.DUMMYFUNCTION("GOOGLETRANSLATE(C5954,""en"",""hr"")"),"Šesterokutni vijak")</f>
        <v>Šesterokutni vijak</v>
      </c>
      <c r="D3124" s="28" t="s">
        <v>11</v>
      </c>
      <c r="E3124" s="29">
        <v>1</v>
      </c>
      <c r="F3124" s="17"/>
      <c r="I3124" s="4" t="b">
        <f>INT(F3122*100)=(F3122*100)</f>
        <v>1</v>
      </c>
    </row>
    <row r="3125" spans="1:9" ht="25.5" customHeight="1" x14ac:dyDescent="0.2">
      <c r="A3125" s="27">
        <v>3123</v>
      </c>
      <c r="B3125" s="29" t="s">
        <v>1388</v>
      </c>
      <c r="C3125" s="29" t="str">
        <f ca="1">IFERROR(__xludf.DUMMYFUNCTION("GOOGLETRANSLATE(C4425,""en"",""hr"")"),"6Ct. vijak")</f>
        <v>6Ct. vijak</v>
      </c>
      <c r="D3125" s="28" t="s">
        <v>11</v>
      </c>
      <c r="E3125" s="29">
        <v>1</v>
      </c>
      <c r="F3125" s="17"/>
    </row>
    <row r="3126" spans="1:9" ht="25.5" customHeight="1" x14ac:dyDescent="0.2">
      <c r="A3126" s="27">
        <v>3124</v>
      </c>
      <c r="B3126" s="29" t="s">
        <v>1389</v>
      </c>
      <c r="C3126" s="29" t="str">
        <f ca="1">IFERROR(__xludf.DUMMYFUNCTION("GOOGLETRANSLATE(C4426,""en"",""hr"")"),"Vijak")</f>
        <v>Vijak</v>
      </c>
      <c r="D3126" s="28" t="s">
        <v>11</v>
      </c>
      <c r="E3126" s="29">
        <v>1</v>
      </c>
      <c r="F3126" s="17"/>
    </row>
    <row r="3127" spans="1:9" ht="25.5" customHeight="1" x14ac:dyDescent="0.2">
      <c r="A3127" s="27">
        <v>3125</v>
      </c>
      <c r="B3127" s="29" t="s">
        <v>1387</v>
      </c>
      <c r="C3127" s="29" t="str">
        <f ca="1">IFERROR(__xludf.DUMMYFUNCTION("GOOGLETRANSLATE(C4424,""en"",""hr"")"),"Vijak")</f>
        <v>Vijak</v>
      </c>
      <c r="D3127" s="28" t="s">
        <v>11</v>
      </c>
      <c r="E3127" s="29">
        <v>1</v>
      </c>
      <c r="F3127" s="17"/>
      <c r="I3127" s="4" t="b">
        <f>INT(F3125*100)=(F3125*100)</f>
        <v>1</v>
      </c>
    </row>
    <row r="3128" spans="1:9" ht="25.5" customHeight="1" x14ac:dyDescent="0.2">
      <c r="A3128" s="27">
        <v>3126</v>
      </c>
      <c r="B3128" s="29" t="s">
        <v>1676</v>
      </c>
      <c r="C3128" s="29" t="str">
        <f ca="1">IFERROR(__xludf.DUMMYFUNCTION("GOOGLETRANSLATE(C5791,""en"",""hr"")"),"imbus vijak")</f>
        <v>imbus vijak</v>
      </c>
      <c r="D3128" s="28" t="s">
        <v>11</v>
      </c>
      <c r="E3128" s="29">
        <v>1</v>
      </c>
      <c r="F3128" s="17"/>
    </row>
    <row r="3129" spans="1:9" ht="25.5" customHeight="1" x14ac:dyDescent="0.2">
      <c r="A3129" s="27">
        <v>3127</v>
      </c>
      <c r="B3129" s="29" t="s">
        <v>1905</v>
      </c>
      <c r="C3129" s="29" t="str">
        <f ca="1">IFERROR(__xludf.DUMMYFUNCTION("GOOGLETRANSLATE(C6640,""en"",""hr"")"),"imbus vijak")</f>
        <v>imbus vijak</v>
      </c>
      <c r="D3129" s="28" t="s">
        <v>11</v>
      </c>
      <c r="E3129" s="29">
        <v>1</v>
      </c>
      <c r="F3129" s="17"/>
    </row>
    <row r="3130" spans="1:9" ht="25.5" customHeight="1" x14ac:dyDescent="0.2">
      <c r="A3130" s="27">
        <v>3128</v>
      </c>
      <c r="B3130" s="29" t="s">
        <v>849</v>
      </c>
      <c r="C3130" s="29" t="str">
        <f ca="1">IFERROR(__xludf.DUMMYFUNCTION("GOOGLETRANSLATE(C2512,""en"",""hr"")"),"imbus vijak")</f>
        <v>imbus vijak</v>
      </c>
      <c r="D3130" s="28" t="s">
        <v>11</v>
      </c>
      <c r="E3130" s="29">
        <v>1</v>
      </c>
      <c r="F3130" s="17"/>
    </row>
    <row r="3131" spans="1:9" ht="25.5" customHeight="1" x14ac:dyDescent="0.2">
      <c r="A3131" s="27">
        <v>3129</v>
      </c>
      <c r="B3131" s="29" t="s">
        <v>1726</v>
      </c>
      <c r="C3131" s="29" t="str">
        <f ca="1">IFERROR(__xludf.DUMMYFUNCTION("GOOGLETRANSLATE(C5991,""en"",""hr"")"),"Vijak s poklopcem")</f>
        <v>Vijak s poklopcem</v>
      </c>
      <c r="D3131" s="28" t="s">
        <v>11</v>
      </c>
      <c r="E3131" s="29">
        <v>1</v>
      </c>
      <c r="F3131" s="17"/>
      <c r="I3131" s="4" t="b">
        <f>INT(F3129*100)=(F3129*100)</f>
        <v>1</v>
      </c>
    </row>
    <row r="3132" spans="1:9" ht="25.5" customHeight="1" x14ac:dyDescent="0.2">
      <c r="A3132" s="27">
        <v>3130</v>
      </c>
      <c r="B3132" s="29" t="s">
        <v>1669</v>
      </c>
      <c r="C3132" s="29" t="str">
        <f ca="1">IFERROR(__xludf.DUMMYFUNCTION("GOOGLETRANSLATE(C5765,""en"",""hr"")"),"imbus vijak")</f>
        <v>imbus vijak</v>
      </c>
      <c r="D3132" s="28" t="s">
        <v>11</v>
      </c>
      <c r="E3132" s="29">
        <v>1</v>
      </c>
      <c r="F3132" s="17"/>
    </row>
    <row r="3133" spans="1:9" ht="25.5" customHeight="1" x14ac:dyDescent="0.2">
      <c r="A3133" s="27">
        <v>3131</v>
      </c>
      <c r="B3133" s="29" t="s">
        <v>1805</v>
      </c>
      <c r="C3133" s="29" t="str">
        <f ca="1">IFERROR(__xludf.DUMMYFUNCTION("GOOGLETRANSLATE(C6335,""en"",""hr"")"),"imbus vijak")</f>
        <v>imbus vijak</v>
      </c>
      <c r="D3133" s="28" t="s">
        <v>11</v>
      </c>
      <c r="E3133" s="29">
        <v>1</v>
      </c>
      <c r="F3133" s="17"/>
    </row>
    <row r="3134" spans="1:9" ht="25.5" customHeight="1" x14ac:dyDescent="0.2">
      <c r="A3134" s="27">
        <v>3132</v>
      </c>
      <c r="B3134" s="29" t="s">
        <v>1640</v>
      </c>
      <c r="C3134" s="29" t="str">
        <f ca="1">IFERROR(__xludf.DUMMYFUNCTION("GOOGLETRANSLATE(C5537,""en"",""hr"")"),"imbus vijak")</f>
        <v>imbus vijak</v>
      </c>
      <c r="D3134" s="28" t="s">
        <v>11</v>
      </c>
      <c r="E3134" s="29">
        <v>1</v>
      </c>
      <c r="F3134" s="17"/>
    </row>
    <row r="3135" spans="1:9" ht="25.5" customHeight="1" x14ac:dyDescent="0.2">
      <c r="A3135" s="27">
        <v>3133</v>
      </c>
      <c r="B3135" s="29" t="s">
        <v>1097</v>
      </c>
      <c r="C3135" s="29" t="str">
        <f ca="1">IFERROR(__xludf.DUMMYFUNCTION("GOOGLETRANSLATE(C3553,""en"",""hr"")"),"imbus vijak")</f>
        <v>imbus vijak</v>
      </c>
      <c r="D3135" s="28" t="s">
        <v>11</v>
      </c>
      <c r="E3135" s="29">
        <v>1</v>
      </c>
      <c r="F3135" s="17"/>
    </row>
    <row r="3136" spans="1:9" ht="25.5" customHeight="1" x14ac:dyDescent="0.2">
      <c r="A3136" s="27">
        <v>3134</v>
      </c>
      <c r="B3136" s="29" t="s">
        <v>1313</v>
      </c>
      <c r="C3136" s="29" t="str">
        <f ca="1">IFERROR(__xludf.DUMMYFUNCTION("GOOGLETRANSLATE(C4149,""en"",""hr"")"),"imbus vijak")</f>
        <v>imbus vijak</v>
      </c>
      <c r="D3136" s="28" t="s">
        <v>11</v>
      </c>
      <c r="E3136" s="29">
        <v>1</v>
      </c>
      <c r="F3136" s="17"/>
    </row>
    <row r="3137" spans="1:9" ht="25.5" customHeight="1" x14ac:dyDescent="0.2">
      <c r="A3137" s="27">
        <v>3135</v>
      </c>
      <c r="B3137" s="29" t="s">
        <v>1188</v>
      </c>
      <c r="C3137" s="29" t="str">
        <f ca="1">IFERROR(__xludf.DUMMYFUNCTION("GOOGLETRANSLATE(C3802,""en"",""hr"")"),"imbus vijak")</f>
        <v>imbus vijak</v>
      </c>
      <c r="D3137" s="28" t="s">
        <v>11</v>
      </c>
      <c r="E3137" s="29">
        <v>1</v>
      </c>
      <c r="F3137" s="17"/>
    </row>
    <row r="3138" spans="1:9" ht="25.5" customHeight="1" x14ac:dyDescent="0.2">
      <c r="A3138" s="27">
        <v>3136</v>
      </c>
      <c r="B3138" s="29" t="s">
        <v>249</v>
      </c>
      <c r="C3138" s="29" t="str">
        <f ca="1">IFERROR(__xludf.DUMMYFUNCTION("GOOGLETRANSLATE(C526,""en"",""hr"")"),"imbus vijak")</f>
        <v>imbus vijak</v>
      </c>
      <c r="D3138" s="28" t="s">
        <v>11</v>
      </c>
      <c r="E3138" s="29">
        <v>1</v>
      </c>
      <c r="F3138" s="17"/>
    </row>
    <row r="3139" spans="1:9" ht="25.5" customHeight="1" x14ac:dyDescent="0.2">
      <c r="A3139" s="27">
        <v>3137</v>
      </c>
      <c r="B3139" s="29" t="s">
        <v>1037</v>
      </c>
      <c r="C3139" s="29" t="str">
        <f ca="1">IFERROR(__xludf.DUMMYFUNCTION("GOOGLETRANSLATE(C3382,""en"",""hr"")"),"imbus vijak")</f>
        <v>imbus vijak</v>
      </c>
      <c r="D3139" s="28" t="s">
        <v>11</v>
      </c>
      <c r="E3139" s="29">
        <v>1</v>
      </c>
      <c r="F3139" s="17"/>
    </row>
    <row r="3140" spans="1:9" ht="25.5" customHeight="1" x14ac:dyDescent="0.2">
      <c r="A3140" s="27">
        <v>3138</v>
      </c>
      <c r="B3140" s="29" t="s">
        <v>1492</v>
      </c>
      <c r="C3140" s="29" t="str">
        <f ca="1">IFERROR(__xludf.DUMMYFUNCTION("GOOGLETRANSLATE(C5003,""en"",""hr"")"),"imbus vijak")</f>
        <v>imbus vijak</v>
      </c>
      <c r="D3140" s="28" t="s">
        <v>11</v>
      </c>
      <c r="E3140" s="29">
        <v>1</v>
      </c>
      <c r="F3140" s="17"/>
    </row>
    <row r="3141" spans="1:9" ht="25.5" customHeight="1" x14ac:dyDescent="0.2">
      <c r="A3141" s="27">
        <v>3139</v>
      </c>
      <c r="B3141" s="29" t="s">
        <v>1678</v>
      </c>
      <c r="C3141" s="29" t="str">
        <f ca="1">IFERROR(__xludf.DUMMYFUNCTION("GOOGLETRANSLATE(C5796,""en"",""hr"")"),"imbus vijak")</f>
        <v>imbus vijak</v>
      </c>
      <c r="D3141" s="28" t="s">
        <v>11</v>
      </c>
      <c r="E3141" s="29">
        <v>1</v>
      </c>
      <c r="F3141" s="17"/>
    </row>
    <row r="3142" spans="1:9" ht="25.5" customHeight="1" x14ac:dyDescent="0.2">
      <c r="A3142" s="27">
        <v>3140</v>
      </c>
      <c r="B3142" s="29" t="s">
        <v>383</v>
      </c>
      <c r="C3142" s="29" t="str">
        <f ca="1">IFERROR(__xludf.DUMMYFUNCTION("GOOGLETRANSLATE(C885,""en"",""hr"")"),"imbus vijak")</f>
        <v>imbus vijak</v>
      </c>
      <c r="D3142" s="28" t="s">
        <v>11</v>
      </c>
      <c r="E3142" s="29">
        <v>1</v>
      </c>
      <c r="F3142" s="17"/>
    </row>
    <row r="3143" spans="1:9" ht="25.5" customHeight="1" x14ac:dyDescent="0.2">
      <c r="A3143" s="27">
        <v>3141</v>
      </c>
      <c r="B3143" s="29" t="s">
        <v>354</v>
      </c>
      <c r="C3143" s="29" t="str">
        <f ca="1">IFERROR(__xludf.DUMMYFUNCTION("GOOGLETRANSLATE(C811,""en"",""hr"")"),"imbus vijak")</f>
        <v>imbus vijak</v>
      </c>
      <c r="D3143" s="28" t="s">
        <v>11</v>
      </c>
      <c r="E3143" s="29">
        <v>1</v>
      </c>
      <c r="F3143" s="17"/>
    </row>
    <row r="3144" spans="1:9" ht="25.5" customHeight="1" x14ac:dyDescent="0.2">
      <c r="A3144" s="27">
        <v>3142</v>
      </c>
      <c r="B3144" s="29" t="s">
        <v>1238</v>
      </c>
      <c r="C3144" s="29" t="str">
        <f ca="1">IFERROR(__xludf.DUMMYFUNCTION("GOOGLETRANSLATE(C3930,""en"",""hr"")"),"imbus vijak")</f>
        <v>imbus vijak</v>
      </c>
      <c r="D3144" s="28" t="s">
        <v>11</v>
      </c>
      <c r="E3144" s="29">
        <v>1</v>
      </c>
      <c r="F3144" s="17"/>
    </row>
    <row r="3145" spans="1:9" ht="25.5" customHeight="1" x14ac:dyDescent="0.2">
      <c r="A3145" s="27">
        <v>3143</v>
      </c>
      <c r="B3145" s="29" t="s">
        <v>386</v>
      </c>
      <c r="C3145" s="29" t="str">
        <f ca="1">IFERROR(__xludf.DUMMYFUNCTION("GOOGLETRANSLATE(C898,""en"",""hr"")"),"imbus vijak")</f>
        <v>imbus vijak</v>
      </c>
      <c r="D3145" s="28" t="s">
        <v>11</v>
      </c>
      <c r="E3145" s="29">
        <v>1</v>
      </c>
      <c r="F3145" s="17"/>
    </row>
    <row r="3146" spans="1:9" ht="25.5" customHeight="1" x14ac:dyDescent="0.2">
      <c r="A3146" s="27">
        <v>3144</v>
      </c>
      <c r="B3146" s="29" t="s">
        <v>1304</v>
      </c>
      <c r="C3146" s="29" t="str">
        <f ca="1">IFERROR(__xludf.DUMMYFUNCTION("GOOGLETRANSLATE(C4119,""en"",""hr"")"),"imbus vijak")</f>
        <v>imbus vijak</v>
      </c>
      <c r="D3146" s="28" t="s">
        <v>11</v>
      </c>
      <c r="E3146" s="29">
        <v>1</v>
      </c>
      <c r="F3146" s="17"/>
    </row>
    <row r="3147" spans="1:9" ht="25.5" customHeight="1" x14ac:dyDescent="0.2">
      <c r="A3147" s="27">
        <v>3145</v>
      </c>
      <c r="B3147" s="29" t="s">
        <v>401</v>
      </c>
      <c r="C3147" s="29" t="str">
        <f ca="1">IFERROR(__xludf.DUMMYFUNCTION("GOOGLETRANSLATE(C943,""en"",""hr"")"),"imbus vijak")</f>
        <v>imbus vijak</v>
      </c>
      <c r="D3147" s="28" t="s">
        <v>11</v>
      </c>
      <c r="E3147" s="29">
        <v>1</v>
      </c>
      <c r="F3147" s="17"/>
    </row>
    <row r="3148" spans="1:9" ht="25.5" customHeight="1" x14ac:dyDescent="0.2">
      <c r="A3148" s="27">
        <v>3146</v>
      </c>
      <c r="B3148" s="29" t="s">
        <v>1433</v>
      </c>
      <c r="C3148" s="29" t="str">
        <f ca="1">IFERROR(__xludf.DUMMYFUNCTION("GOOGLETRANSLATE(C4656,""en"",""hr"")"),"imbus vijak")</f>
        <v>imbus vijak</v>
      </c>
      <c r="D3148" s="28" t="s">
        <v>11</v>
      </c>
      <c r="E3148" s="29">
        <v>1</v>
      </c>
      <c r="F3148" s="17"/>
    </row>
    <row r="3149" spans="1:9" ht="25.5" customHeight="1" x14ac:dyDescent="0.2">
      <c r="A3149" s="27">
        <v>3147</v>
      </c>
      <c r="B3149" s="29" t="s">
        <v>355</v>
      </c>
      <c r="C3149" s="29" t="str">
        <f ca="1">IFERROR(__xludf.DUMMYFUNCTION("GOOGLETRANSLATE(C812,""en"",""hr"")"),"imbus vijak")</f>
        <v>imbus vijak</v>
      </c>
      <c r="D3149" s="28" t="s">
        <v>11</v>
      </c>
      <c r="E3149" s="29">
        <v>1</v>
      </c>
      <c r="F3149" s="17"/>
      <c r="I3149" s="4" t="b">
        <f>INT(F3147*100)=(F3147*100)</f>
        <v>1</v>
      </c>
    </row>
    <row r="3150" spans="1:9" ht="25.5" customHeight="1" x14ac:dyDescent="0.2">
      <c r="A3150" s="27">
        <v>3148</v>
      </c>
      <c r="B3150" s="29" t="s">
        <v>1454</v>
      </c>
      <c r="C3150" s="29" t="str">
        <f ca="1">IFERROR(__xludf.DUMMYFUNCTION("GOOGLETRANSLATE(C4765,""en"",""hr"")"),"imbus vijak")</f>
        <v>imbus vijak</v>
      </c>
      <c r="D3150" s="28" t="s">
        <v>11</v>
      </c>
      <c r="E3150" s="29">
        <v>1</v>
      </c>
      <c r="F3150" s="17"/>
    </row>
    <row r="3151" spans="1:9" ht="25.5" customHeight="1" x14ac:dyDescent="0.2">
      <c r="A3151" s="27">
        <v>3149</v>
      </c>
      <c r="B3151" s="29" t="s">
        <v>1275</v>
      </c>
      <c r="C3151" s="29" t="str">
        <f ca="1">IFERROR(__xludf.DUMMYFUNCTION("GOOGLETRANSLATE(C4008,""en"",""hr"")"),"imbus vijak")</f>
        <v>imbus vijak</v>
      </c>
      <c r="D3151" s="28" t="s">
        <v>11</v>
      </c>
      <c r="E3151" s="29">
        <v>1</v>
      </c>
      <c r="F3151" s="17"/>
    </row>
    <row r="3152" spans="1:9" ht="25.5" customHeight="1" x14ac:dyDescent="0.2">
      <c r="A3152" s="27">
        <v>3150</v>
      </c>
      <c r="B3152" s="29" t="s">
        <v>170</v>
      </c>
      <c r="C3152" s="29" t="str">
        <f ca="1">IFERROR(__xludf.DUMMYFUNCTION("GOOGLETRANSLATE(C327,""en"",""hr"")"),"imbus vijak")</f>
        <v>imbus vijak</v>
      </c>
      <c r="D3152" s="28" t="s">
        <v>11</v>
      </c>
      <c r="E3152" s="29">
        <v>1</v>
      </c>
      <c r="F3152" s="17"/>
      <c r="I3152" s="4" t="b">
        <f>INT(F3150*100)=(F3150*100)</f>
        <v>1</v>
      </c>
    </row>
    <row r="3153" spans="1:9" ht="25.5" customHeight="1" x14ac:dyDescent="0.2">
      <c r="A3153" s="27">
        <v>3151</v>
      </c>
      <c r="B3153" s="29" t="s">
        <v>1576</v>
      </c>
      <c r="C3153" s="29" t="str">
        <f ca="1">IFERROR(__xludf.DUMMYFUNCTION("GOOGLETRANSLATE(C5344,""en"",""hr"")"),"imbus vijak")</f>
        <v>imbus vijak</v>
      </c>
      <c r="D3153" s="28" t="s">
        <v>11</v>
      </c>
      <c r="E3153" s="29">
        <v>1</v>
      </c>
      <c r="F3153" s="17"/>
    </row>
    <row r="3154" spans="1:9" ht="25.5" customHeight="1" x14ac:dyDescent="0.2">
      <c r="A3154" s="27">
        <v>3152</v>
      </c>
      <c r="B3154" s="29" t="s">
        <v>243</v>
      </c>
      <c r="C3154" s="29" t="str">
        <f ca="1">IFERROR(__xludf.DUMMYFUNCTION("GOOGLETRANSLATE(C508,""en"",""hr"")"),"imbus vijak")</f>
        <v>imbus vijak</v>
      </c>
      <c r="D3154" s="28" t="s">
        <v>11</v>
      </c>
      <c r="E3154" s="29">
        <v>1</v>
      </c>
      <c r="F3154" s="17"/>
    </row>
    <row r="3155" spans="1:9" ht="25.5" customHeight="1" x14ac:dyDescent="0.2">
      <c r="A3155" s="27">
        <v>3153</v>
      </c>
      <c r="B3155" s="29" t="s">
        <v>532</v>
      </c>
      <c r="C3155" s="29" t="str">
        <f ca="1">IFERROR(__xludf.DUMMYFUNCTION("GOOGLETRANSLATE(C1389,""en"",""hr"")"),"imbus vijak")</f>
        <v>imbus vijak</v>
      </c>
      <c r="D3155" s="28" t="s">
        <v>11</v>
      </c>
      <c r="E3155" s="29">
        <v>1</v>
      </c>
      <c r="F3155" s="17"/>
    </row>
    <row r="3156" spans="1:9" ht="25.5" customHeight="1" x14ac:dyDescent="0.2">
      <c r="A3156" s="27">
        <v>3154</v>
      </c>
      <c r="B3156" s="29" t="s">
        <v>1128</v>
      </c>
      <c r="C3156" s="29" t="str">
        <f ca="1">IFERROR(__xludf.DUMMYFUNCTION("GOOGLETRANSLATE(C3672,""en"",""hr"")"),"Vijak s poklopcem")</f>
        <v>Vijak s poklopcem</v>
      </c>
      <c r="D3156" s="28" t="s">
        <v>11</v>
      </c>
      <c r="E3156" s="29">
        <v>1</v>
      </c>
      <c r="F3156" s="17"/>
      <c r="I3156" s="4" t="b">
        <f>INT(F3154*100)=(F3154*100)</f>
        <v>1</v>
      </c>
    </row>
    <row r="3157" spans="1:9" ht="25.5" customHeight="1" x14ac:dyDescent="0.2">
      <c r="A3157" s="27">
        <v>3155</v>
      </c>
      <c r="B3157" s="29" t="s">
        <v>487</v>
      </c>
      <c r="C3157" s="29" t="str">
        <f ca="1">IFERROR(__xludf.DUMMYFUNCTION("GOOGLETRANSLATE(C1181,""en"",""hr"")"),"imbus vijak")</f>
        <v>imbus vijak</v>
      </c>
      <c r="D3157" s="28" t="s">
        <v>11</v>
      </c>
      <c r="E3157" s="29">
        <v>1</v>
      </c>
      <c r="F3157" s="17"/>
    </row>
    <row r="3158" spans="1:9" ht="25.5" customHeight="1" x14ac:dyDescent="0.2">
      <c r="A3158" s="27">
        <v>3156</v>
      </c>
      <c r="B3158" s="29" t="s">
        <v>1269</v>
      </c>
      <c r="C3158" s="29" t="str">
        <f ca="1">IFERROR(__xludf.DUMMYFUNCTION("GOOGLETRANSLATE(C4002,""en"",""hr"")"),"imbus vijak")</f>
        <v>imbus vijak</v>
      </c>
      <c r="D3158" s="28" t="s">
        <v>11</v>
      </c>
      <c r="E3158" s="29">
        <v>1</v>
      </c>
      <c r="F3158" s="17"/>
    </row>
    <row r="3159" spans="1:9" ht="25.5" customHeight="1" x14ac:dyDescent="0.2">
      <c r="A3159" s="27">
        <v>3157</v>
      </c>
      <c r="B3159" s="29" t="s">
        <v>1176</v>
      </c>
      <c r="C3159" s="29" t="str">
        <f ca="1">IFERROR(__xludf.DUMMYFUNCTION("GOOGLETRANSLATE(C3787,""en"",""hr"")"),"imbus vijak")</f>
        <v>imbus vijak</v>
      </c>
      <c r="D3159" s="28" t="s">
        <v>11</v>
      </c>
      <c r="E3159" s="29">
        <v>1</v>
      </c>
      <c r="F3159" s="17"/>
    </row>
    <row r="3160" spans="1:9" ht="25.5" customHeight="1" x14ac:dyDescent="0.2">
      <c r="A3160" s="27">
        <v>3158</v>
      </c>
      <c r="B3160" s="29" t="s">
        <v>1290</v>
      </c>
      <c r="C3160" s="29" t="str">
        <f ca="1">IFERROR(__xludf.DUMMYFUNCTION("GOOGLETRANSLATE(C4024,""en"",""hr"")"),"imbus vijak")</f>
        <v>imbus vijak</v>
      </c>
      <c r="D3160" s="28" t="s">
        <v>11</v>
      </c>
      <c r="E3160" s="29">
        <v>1</v>
      </c>
      <c r="F3160" s="17"/>
    </row>
    <row r="3161" spans="1:9" ht="25.5" customHeight="1" x14ac:dyDescent="0.2">
      <c r="A3161" s="27">
        <v>3159</v>
      </c>
      <c r="B3161" s="29" t="s">
        <v>330</v>
      </c>
      <c r="C3161" s="29" t="str">
        <f ca="1">IFERROR(__xludf.DUMMYFUNCTION("GOOGLETRANSLATE(C746,""en"",""hr"")"),"imbus vijak")</f>
        <v>imbus vijak</v>
      </c>
      <c r="D3161" s="28" t="s">
        <v>11</v>
      </c>
      <c r="E3161" s="29">
        <v>1</v>
      </c>
      <c r="F3161" s="17"/>
    </row>
    <row r="3162" spans="1:9" ht="25.5" customHeight="1" x14ac:dyDescent="0.2">
      <c r="A3162" s="27">
        <v>3160</v>
      </c>
      <c r="B3162" s="29" t="s">
        <v>1691</v>
      </c>
      <c r="C3162" s="29" t="str">
        <f ca="1">IFERROR(__xludf.DUMMYFUNCTION("GOOGLETRANSLATE(C5869,""en"",""hr"")"),"imbus vijak")</f>
        <v>imbus vijak</v>
      </c>
      <c r="D3162" s="28" t="s">
        <v>11</v>
      </c>
      <c r="E3162" s="29">
        <v>1</v>
      </c>
      <c r="F3162" s="17"/>
    </row>
    <row r="3163" spans="1:9" ht="25.5" customHeight="1" x14ac:dyDescent="0.2">
      <c r="A3163" s="27">
        <v>3161</v>
      </c>
      <c r="B3163" s="29" t="s">
        <v>273</v>
      </c>
      <c r="C3163" s="29" t="str">
        <f ca="1">IFERROR(__xludf.DUMMYFUNCTION("GOOGLETRANSLATE(C604,""en"",""hr"")"),"Vijak")</f>
        <v>Vijak</v>
      </c>
      <c r="D3163" s="28" t="s">
        <v>11</v>
      </c>
      <c r="E3163" s="29">
        <v>1</v>
      </c>
      <c r="F3163" s="17"/>
    </row>
    <row r="3164" spans="1:9" ht="25.5" customHeight="1" x14ac:dyDescent="0.2">
      <c r="A3164" s="27">
        <v>3162</v>
      </c>
      <c r="B3164" s="29" t="s">
        <v>403</v>
      </c>
      <c r="C3164" s="29" t="str">
        <f ca="1">IFERROR(__xludf.DUMMYFUNCTION("GOOGLETRANSLATE(C947,""en"",""hr"")"),"imbus vijak")</f>
        <v>imbus vijak</v>
      </c>
      <c r="D3164" s="28" t="s">
        <v>11</v>
      </c>
      <c r="E3164" s="29">
        <v>1</v>
      </c>
      <c r="F3164" s="17"/>
    </row>
    <row r="3165" spans="1:9" ht="25.5" customHeight="1" x14ac:dyDescent="0.2">
      <c r="A3165" s="27">
        <v>3163</v>
      </c>
      <c r="B3165" s="29" t="s">
        <v>1827</v>
      </c>
      <c r="C3165" s="29" t="str">
        <f ca="1">IFERROR(__xludf.DUMMYFUNCTION("GOOGLETRANSLATE(C6382,""en"",""hr"")"),"imbus vijak")</f>
        <v>imbus vijak</v>
      </c>
      <c r="D3165" s="28" t="s">
        <v>11</v>
      </c>
      <c r="E3165" s="29">
        <v>1</v>
      </c>
      <c r="F3165" s="17"/>
    </row>
    <row r="3166" spans="1:9" ht="25.5" customHeight="1" x14ac:dyDescent="0.2">
      <c r="A3166" s="27">
        <v>3164</v>
      </c>
      <c r="B3166" s="29" t="s">
        <v>1828</v>
      </c>
      <c r="C3166" s="29" t="str">
        <f ca="1">IFERROR(__xludf.DUMMYFUNCTION("GOOGLETRANSLATE(C6383,""en"",""hr"")"),"imbus vijak")</f>
        <v>imbus vijak</v>
      </c>
      <c r="D3166" s="28" t="s">
        <v>11</v>
      </c>
      <c r="E3166" s="29">
        <v>1</v>
      </c>
      <c r="F3166" s="17"/>
    </row>
    <row r="3167" spans="1:9" ht="25.5" customHeight="1" x14ac:dyDescent="0.2">
      <c r="A3167" s="27">
        <v>3165</v>
      </c>
      <c r="B3167" s="29" t="s">
        <v>1824</v>
      </c>
      <c r="C3167" s="29" t="str">
        <f ca="1">IFERROR(__xludf.DUMMYFUNCTION("GOOGLETRANSLATE(C6366,""en"",""hr"")"),"imbus vijak")</f>
        <v>imbus vijak</v>
      </c>
      <c r="D3167" s="28" t="s">
        <v>11</v>
      </c>
      <c r="E3167" s="29">
        <v>1</v>
      </c>
      <c r="F3167" s="17"/>
    </row>
    <row r="3168" spans="1:9" ht="25.5" customHeight="1" x14ac:dyDescent="0.2">
      <c r="A3168" s="27">
        <v>3166</v>
      </c>
      <c r="B3168" s="29" t="s">
        <v>1826</v>
      </c>
      <c r="C3168" s="29" t="str">
        <f ca="1">IFERROR(__xludf.DUMMYFUNCTION("GOOGLETRANSLATE(C6373,""en"",""hr"")"),"imbus vijak")</f>
        <v>imbus vijak</v>
      </c>
      <c r="D3168" s="28" t="s">
        <v>11</v>
      </c>
      <c r="E3168" s="29">
        <v>1</v>
      </c>
      <c r="F3168" s="17"/>
    </row>
    <row r="3169" spans="1:9" ht="25.5" customHeight="1" x14ac:dyDescent="0.2">
      <c r="A3169" s="27">
        <v>3167</v>
      </c>
      <c r="B3169" s="29" t="s">
        <v>1131</v>
      </c>
      <c r="C3169" s="29" t="str">
        <f ca="1">IFERROR(__xludf.DUMMYFUNCTION("GOOGLETRANSLATE(C3677,""en"",""hr"")"),"Vijak s poklopcem")</f>
        <v>Vijak s poklopcem</v>
      </c>
      <c r="D3169" s="28" t="s">
        <v>11</v>
      </c>
      <c r="E3169" s="29">
        <v>1</v>
      </c>
      <c r="F3169" s="17"/>
    </row>
    <row r="3170" spans="1:9" ht="25.5" customHeight="1" x14ac:dyDescent="0.2">
      <c r="A3170" s="27">
        <v>3168</v>
      </c>
      <c r="B3170" s="29" t="s">
        <v>1133</v>
      </c>
      <c r="C3170" s="29" t="str">
        <f ca="1">IFERROR(__xludf.DUMMYFUNCTION("GOOGLETRANSLATE(C3689,""en"",""hr"")"),"imbus vijak")</f>
        <v>imbus vijak</v>
      </c>
      <c r="D3170" s="28" t="s">
        <v>11</v>
      </c>
      <c r="E3170" s="29">
        <v>1</v>
      </c>
      <c r="F3170" s="17"/>
    </row>
    <row r="3171" spans="1:9" ht="25.5" customHeight="1" x14ac:dyDescent="0.2">
      <c r="A3171" s="27">
        <v>3169</v>
      </c>
      <c r="B3171" s="29" t="s">
        <v>1130</v>
      </c>
      <c r="C3171" s="29" t="str">
        <f ca="1">IFERROR(__xludf.DUMMYFUNCTION("GOOGLETRANSLATE(C3675,""en"",""hr"")"),"imbus vijak")</f>
        <v>imbus vijak</v>
      </c>
      <c r="D3171" s="28" t="s">
        <v>11</v>
      </c>
      <c r="E3171" s="29">
        <v>1</v>
      </c>
      <c r="F3171" s="17"/>
    </row>
    <row r="3172" spans="1:9" ht="25.5" customHeight="1" x14ac:dyDescent="0.2">
      <c r="A3172" s="27">
        <v>3170</v>
      </c>
      <c r="B3172" s="29" t="s">
        <v>1008</v>
      </c>
      <c r="C3172" s="29" t="str">
        <f ca="1">IFERROR(__xludf.DUMMYFUNCTION("GOOGLETRANSLATE(C3213,""en"",""hr"")"),"imbus vijak")</f>
        <v>imbus vijak</v>
      </c>
      <c r="D3172" s="28" t="s">
        <v>11</v>
      </c>
      <c r="E3172" s="29">
        <v>1</v>
      </c>
      <c r="F3172" s="17"/>
    </row>
    <row r="3173" spans="1:9" ht="25.5" customHeight="1" x14ac:dyDescent="0.2">
      <c r="A3173" s="27">
        <v>3171</v>
      </c>
      <c r="B3173" s="29" t="s">
        <v>518</v>
      </c>
      <c r="C3173" s="29" t="str">
        <f ca="1">IFERROR(__xludf.DUMMYFUNCTION("GOOGLETRANSLATE(C1340,""en"",""hr"")"),"imbus vijak")</f>
        <v>imbus vijak</v>
      </c>
      <c r="D3173" s="28" t="s">
        <v>11</v>
      </c>
      <c r="E3173" s="29">
        <v>1</v>
      </c>
      <c r="F3173" s="17"/>
    </row>
    <row r="3174" spans="1:9" ht="25.5" customHeight="1" x14ac:dyDescent="0.2">
      <c r="A3174" s="27">
        <v>3172</v>
      </c>
      <c r="B3174" s="29" t="s">
        <v>1395</v>
      </c>
      <c r="C3174" s="29" t="str">
        <f ca="1">IFERROR(__xludf.DUMMYFUNCTION("GOOGLETRANSLATE(C4476,""en"",""hr"")"),"imbus vijak")</f>
        <v>imbus vijak</v>
      </c>
      <c r="D3174" s="28" t="s">
        <v>11</v>
      </c>
      <c r="E3174" s="29">
        <v>1</v>
      </c>
      <c r="F3174" s="17"/>
    </row>
    <row r="3175" spans="1:9" ht="25.5" customHeight="1" x14ac:dyDescent="0.2">
      <c r="A3175" s="27">
        <v>3173</v>
      </c>
      <c r="B3175" s="29" t="s">
        <v>1366</v>
      </c>
      <c r="C3175" s="29" t="str">
        <f ca="1">IFERROR(__xludf.DUMMYFUNCTION("GOOGLETRANSLATE(C4327,""en"",""hr"")"),"imbus vijak")</f>
        <v>imbus vijak</v>
      </c>
      <c r="D3175" s="28" t="s">
        <v>11</v>
      </c>
      <c r="E3175" s="29">
        <v>1</v>
      </c>
      <c r="F3175" s="17"/>
      <c r="I3175" s="4" t="b">
        <f>INT(F3173*100)=(F3173*100)</f>
        <v>1</v>
      </c>
    </row>
    <row r="3176" spans="1:9" ht="25.5" customHeight="1" x14ac:dyDescent="0.2">
      <c r="A3176" s="27">
        <v>3174</v>
      </c>
      <c r="B3176" s="29" t="s">
        <v>1673</v>
      </c>
      <c r="C3176" s="29" t="str">
        <f ca="1">IFERROR(__xludf.DUMMYFUNCTION("GOOGLETRANSLATE(C5783,""en"",""hr"")"),"imbus vijak")</f>
        <v>imbus vijak</v>
      </c>
      <c r="D3176" s="28" t="s">
        <v>11</v>
      </c>
      <c r="E3176" s="29">
        <v>1</v>
      </c>
      <c r="F3176" s="17"/>
    </row>
    <row r="3177" spans="1:9" ht="25.5" customHeight="1" x14ac:dyDescent="0.2">
      <c r="A3177" s="27">
        <v>3175</v>
      </c>
      <c r="B3177" s="29" t="s">
        <v>1679</v>
      </c>
      <c r="C3177" s="29" t="str">
        <f ca="1">IFERROR(__xludf.DUMMYFUNCTION("GOOGLETRANSLATE(C5802,""en"",""hr"")"),"imbus vijak")</f>
        <v>imbus vijak</v>
      </c>
      <c r="D3177" s="28" t="s">
        <v>11</v>
      </c>
      <c r="E3177" s="29">
        <v>1</v>
      </c>
      <c r="F3177" s="17"/>
    </row>
    <row r="3178" spans="1:9" ht="25.5" customHeight="1" x14ac:dyDescent="0.2">
      <c r="A3178" s="27">
        <v>3176</v>
      </c>
      <c r="B3178" s="29" t="s">
        <v>290</v>
      </c>
      <c r="C3178" s="29" t="str">
        <f ca="1">IFERROR(__xludf.DUMMYFUNCTION("GOOGLETRANSLATE(C640,""en"",""hr"")"),"Vijak s poklopcem")</f>
        <v>Vijak s poklopcem</v>
      </c>
      <c r="D3178" s="28" t="s">
        <v>11</v>
      </c>
      <c r="E3178" s="29">
        <v>1</v>
      </c>
      <c r="F3178" s="17"/>
      <c r="I3178" s="4" t="b">
        <f>INT(F3176*100)=(F3176*100)</f>
        <v>1</v>
      </c>
    </row>
    <row r="3179" spans="1:9" ht="25.5" customHeight="1" x14ac:dyDescent="0.2">
      <c r="A3179" s="27">
        <v>3177</v>
      </c>
      <c r="B3179" s="29" t="s">
        <v>294</v>
      </c>
      <c r="C3179" s="29" t="str">
        <f ca="1">IFERROR(__xludf.DUMMYFUNCTION("GOOGLETRANSLATE(C650,""en"",""hr"")"),"imbus vijak")</f>
        <v>imbus vijak</v>
      </c>
      <c r="D3179" s="28" t="s">
        <v>11</v>
      </c>
      <c r="E3179" s="29">
        <v>1</v>
      </c>
      <c r="F3179" s="17"/>
    </row>
    <row r="3180" spans="1:9" ht="25.5" customHeight="1" x14ac:dyDescent="0.2">
      <c r="A3180" s="27">
        <v>3178</v>
      </c>
      <c r="B3180" s="29" t="s">
        <v>282</v>
      </c>
      <c r="C3180" s="29" t="str">
        <f ca="1">IFERROR(__xludf.DUMMYFUNCTION("GOOGLETRANSLATE(C627,""en"",""hr"")"),"Vijak s poklopcem")</f>
        <v>Vijak s poklopcem</v>
      </c>
      <c r="D3180" s="28" t="s">
        <v>11</v>
      </c>
      <c r="E3180" s="29">
        <v>1</v>
      </c>
      <c r="F3180" s="17"/>
    </row>
    <row r="3181" spans="1:9" ht="25.5" customHeight="1" x14ac:dyDescent="0.2">
      <c r="A3181" s="27">
        <v>3179</v>
      </c>
      <c r="B3181" s="29" t="s">
        <v>1589</v>
      </c>
      <c r="C3181" s="29" t="str">
        <f ca="1">IFERROR(__xludf.DUMMYFUNCTION("GOOGLETRANSLATE(C5400,""en"",""hr"")"),"imbus vijak")</f>
        <v>imbus vijak</v>
      </c>
      <c r="D3181" s="28" t="s">
        <v>11</v>
      </c>
      <c r="E3181" s="29">
        <v>1</v>
      </c>
      <c r="F3181" s="17"/>
    </row>
    <row r="3182" spans="1:9" ht="25.5" customHeight="1" x14ac:dyDescent="0.2">
      <c r="A3182" s="27">
        <v>3180</v>
      </c>
      <c r="B3182" s="29" t="s">
        <v>1396</v>
      </c>
      <c r="C3182" s="29" t="str">
        <f ca="1">IFERROR(__xludf.DUMMYFUNCTION("GOOGLETRANSLATE(C4480,""en"",""hr"")"),"Vijak s poklopcem")</f>
        <v>Vijak s poklopcem</v>
      </c>
      <c r="D3182" s="28" t="s">
        <v>11</v>
      </c>
      <c r="E3182" s="29">
        <v>1</v>
      </c>
      <c r="F3182" s="17"/>
      <c r="I3182" s="4" t="b">
        <f>INT(F3180*100)=(F3180*100)</f>
        <v>1</v>
      </c>
    </row>
    <row r="3183" spans="1:9" ht="25.5" customHeight="1" x14ac:dyDescent="0.2">
      <c r="A3183" s="27">
        <v>3181</v>
      </c>
      <c r="B3183" s="29" t="s">
        <v>402</v>
      </c>
      <c r="C3183" s="29" t="str">
        <f ca="1">IFERROR(__xludf.DUMMYFUNCTION("GOOGLETRANSLATE(C946,""en"",""hr"")"),"Vijak s poklopcem")</f>
        <v>Vijak s poklopcem</v>
      </c>
      <c r="D3183" s="28" t="s">
        <v>11</v>
      </c>
      <c r="E3183" s="29">
        <v>1</v>
      </c>
      <c r="F3183" s="17"/>
    </row>
    <row r="3184" spans="1:9" ht="25.5" customHeight="1" x14ac:dyDescent="0.2">
      <c r="A3184" s="27">
        <v>3182</v>
      </c>
      <c r="B3184" s="29" t="s">
        <v>1398</v>
      </c>
      <c r="C3184" s="29" t="str">
        <f ca="1">IFERROR(__xludf.DUMMYFUNCTION("GOOGLETRANSLATE(C4497,""en"",""hr"")"),"Upušteni vijak")</f>
        <v>Upušteni vijak</v>
      </c>
      <c r="D3184" s="28" t="s">
        <v>11</v>
      </c>
      <c r="E3184" s="29">
        <v>1</v>
      </c>
      <c r="F3184" s="17"/>
    </row>
    <row r="3185" spans="1:9" ht="25.5" customHeight="1" x14ac:dyDescent="0.2">
      <c r="A3185" s="27">
        <v>3183</v>
      </c>
      <c r="B3185" s="29" t="s">
        <v>1540</v>
      </c>
      <c r="C3185" s="29" t="str">
        <f ca="1">IFERROR(__xludf.DUMMYFUNCTION("GOOGLETRANSLATE(C5237,""en"",""hr"")"),"Upušteni vijak")</f>
        <v>Upušteni vijak</v>
      </c>
      <c r="D3185" s="28" t="s">
        <v>11</v>
      </c>
      <c r="E3185" s="29">
        <v>1</v>
      </c>
      <c r="F3185" s="17"/>
    </row>
    <row r="3186" spans="1:9" ht="25.5" customHeight="1" x14ac:dyDescent="0.2">
      <c r="A3186" s="27">
        <v>3184</v>
      </c>
      <c r="B3186" s="29" t="s">
        <v>1010</v>
      </c>
      <c r="C3186" s="29" t="str">
        <f ca="1">IFERROR(__xludf.DUMMYFUNCTION("GOOGLETRANSLATE(C3261,""en"",""hr"")"),"Upušteni vijak")</f>
        <v>Upušteni vijak</v>
      </c>
      <c r="D3186" s="28" t="s">
        <v>11</v>
      </c>
      <c r="E3186" s="29">
        <v>1</v>
      </c>
      <c r="F3186" s="17"/>
    </row>
    <row r="3187" spans="1:9" ht="25.5" customHeight="1" x14ac:dyDescent="0.2">
      <c r="A3187" s="27">
        <v>3185</v>
      </c>
      <c r="B3187" s="29" t="s">
        <v>1110</v>
      </c>
      <c r="C3187" s="29" t="str">
        <f ca="1">IFERROR(__xludf.DUMMYFUNCTION("GOOGLETRANSLATE(C3587,""en"",""hr"")"),"Upušteni vijak")</f>
        <v>Upušteni vijak</v>
      </c>
      <c r="D3187" s="28" t="s">
        <v>11</v>
      </c>
      <c r="E3187" s="29">
        <v>1</v>
      </c>
      <c r="F3187" s="17"/>
    </row>
    <row r="3188" spans="1:9" ht="25.5" customHeight="1" x14ac:dyDescent="0.2">
      <c r="A3188" s="27">
        <v>3186</v>
      </c>
      <c r="B3188" s="29" t="s">
        <v>1495</v>
      </c>
      <c r="C3188" s="29" t="str">
        <f ca="1">IFERROR(__xludf.DUMMYFUNCTION("GOOGLETRANSLATE(C5032,""en"",""hr"")"),"Upušteni vijak")</f>
        <v>Upušteni vijak</v>
      </c>
      <c r="D3188" s="28" t="s">
        <v>11</v>
      </c>
      <c r="E3188" s="29">
        <v>1</v>
      </c>
      <c r="F3188" s="17"/>
    </row>
    <row r="3189" spans="1:9" ht="25.5" customHeight="1" x14ac:dyDescent="0.2">
      <c r="A3189" s="27">
        <v>3187</v>
      </c>
      <c r="B3189" s="29" t="s">
        <v>1059</v>
      </c>
      <c r="C3189" s="29" t="str">
        <f ca="1">IFERROR(__xludf.DUMMYFUNCTION("GOOGLETRANSLATE(C3452,""en"",""hr"")"),"Upušteni vijak")</f>
        <v>Upušteni vijak</v>
      </c>
      <c r="D3189" s="28" t="s">
        <v>11</v>
      </c>
      <c r="E3189" s="29">
        <v>1</v>
      </c>
      <c r="F3189" s="17"/>
    </row>
    <row r="3190" spans="1:9" ht="25.5" customHeight="1" x14ac:dyDescent="0.2">
      <c r="A3190" s="27">
        <v>3188</v>
      </c>
      <c r="B3190" s="29" t="s">
        <v>2021</v>
      </c>
      <c r="C3190" s="29" t="str">
        <f ca="1">IFERROR(__xludf.DUMMYFUNCTION("GOOGLETRANSLATE(C6837,""en"",""hr"")"),"Upušteni vijak")</f>
        <v>Upušteni vijak</v>
      </c>
      <c r="D3190" s="28" t="s">
        <v>11</v>
      </c>
      <c r="E3190" s="29">
        <v>1</v>
      </c>
      <c r="F3190" s="17"/>
    </row>
    <row r="3191" spans="1:9" ht="25.5" customHeight="1" x14ac:dyDescent="0.2">
      <c r="A3191" s="27">
        <v>3189</v>
      </c>
      <c r="B3191" s="29" t="s">
        <v>595</v>
      </c>
      <c r="C3191" s="29" t="str">
        <f ca="1">IFERROR(__xludf.DUMMYFUNCTION("GOOGLETRANSLATE(C1728,""en"",""hr"")"),"Upušteni vijak")</f>
        <v>Upušteni vijak</v>
      </c>
      <c r="D3191" s="28" t="s">
        <v>11</v>
      </c>
      <c r="E3191" s="29">
        <v>1</v>
      </c>
      <c r="F3191" s="17"/>
    </row>
    <row r="3192" spans="1:9" ht="25.5" customHeight="1" x14ac:dyDescent="0.2">
      <c r="A3192" s="27">
        <v>3190</v>
      </c>
      <c r="B3192" s="29" t="s">
        <v>285</v>
      </c>
      <c r="C3192" s="29" t="str">
        <f ca="1">IFERROR(__xludf.DUMMYFUNCTION("GOOGLETRANSLATE(C630,""en"",""hr"")"),"Upušteni vijak")</f>
        <v>Upušteni vijak</v>
      </c>
      <c r="D3192" s="28" t="s">
        <v>11</v>
      </c>
      <c r="E3192" s="29">
        <v>1</v>
      </c>
      <c r="F3192" s="17"/>
    </row>
    <row r="3193" spans="1:9" ht="25.5" customHeight="1" x14ac:dyDescent="0.2">
      <c r="A3193" s="27">
        <v>3191</v>
      </c>
      <c r="B3193" s="29" t="s">
        <v>192</v>
      </c>
      <c r="C3193" s="29" t="str">
        <f ca="1">IFERROR(__xludf.DUMMYFUNCTION("GOOGLETRANSLATE(C408,""en"",""hr"")"),"Upušteni vijak")</f>
        <v>Upušteni vijak</v>
      </c>
      <c r="D3193" s="28" t="s">
        <v>11</v>
      </c>
      <c r="E3193" s="29">
        <v>1</v>
      </c>
      <c r="F3193" s="17"/>
    </row>
    <row r="3194" spans="1:9" ht="25.5" customHeight="1" x14ac:dyDescent="0.2">
      <c r="A3194" s="27">
        <v>3192</v>
      </c>
      <c r="B3194" s="29" t="s">
        <v>181</v>
      </c>
      <c r="C3194" s="29" t="str">
        <f ca="1">IFERROR(__xludf.DUMMYFUNCTION("GOOGLETRANSLATE(C365,""en"",""hr"")"),"Upušteni vijak")</f>
        <v>Upušteni vijak</v>
      </c>
      <c r="D3194" s="28" t="s">
        <v>11</v>
      </c>
      <c r="E3194" s="29">
        <v>1</v>
      </c>
      <c r="F3194" s="17"/>
    </row>
    <row r="3195" spans="1:9" ht="25.5" customHeight="1" x14ac:dyDescent="0.2">
      <c r="A3195" s="27">
        <v>3193</v>
      </c>
      <c r="B3195" s="29" t="s">
        <v>155</v>
      </c>
      <c r="C3195" s="29" t="str">
        <f ca="1">IFERROR(__xludf.DUMMYFUNCTION("GOOGLETRANSLATE(C300,""en"",""hr"")"),"Upušteni vijak")</f>
        <v>Upušteni vijak</v>
      </c>
      <c r="D3195" s="28" t="s">
        <v>11</v>
      </c>
      <c r="E3195" s="29">
        <v>1</v>
      </c>
      <c r="F3195" s="17"/>
    </row>
    <row r="3196" spans="1:9" ht="25.5" customHeight="1" x14ac:dyDescent="0.2">
      <c r="A3196" s="27">
        <v>3194</v>
      </c>
      <c r="B3196" s="29" t="s">
        <v>1507</v>
      </c>
      <c r="C3196" s="29" t="str">
        <f ca="1">IFERROR(__xludf.DUMMYFUNCTION("GOOGLETRANSLATE(C5065,""en"",""hr"")"),"Upušteni vijak")</f>
        <v>Upušteni vijak</v>
      </c>
      <c r="D3196" s="28" t="s">
        <v>11</v>
      </c>
      <c r="E3196" s="29">
        <v>1</v>
      </c>
      <c r="F3196" s="17"/>
    </row>
    <row r="3197" spans="1:9" ht="25.5" customHeight="1" x14ac:dyDescent="0.2">
      <c r="A3197" s="27">
        <v>3195</v>
      </c>
      <c r="B3197" s="29" t="s">
        <v>1511</v>
      </c>
      <c r="C3197" s="29" t="str">
        <f ca="1">IFERROR(__xludf.DUMMYFUNCTION("GOOGLETRANSLATE(C5117,""en"",""hr"")"),"Upušteni vijak")</f>
        <v>Upušteni vijak</v>
      </c>
      <c r="D3197" s="28" t="s">
        <v>11</v>
      </c>
      <c r="E3197" s="29">
        <v>1</v>
      </c>
      <c r="F3197" s="17"/>
    </row>
    <row r="3198" spans="1:9" ht="25.5" customHeight="1" x14ac:dyDescent="0.2">
      <c r="A3198" s="27">
        <v>3196</v>
      </c>
      <c r="B3198" s="29" t="s">
        <v>1660</v>
      </c>
      <c r="C3198" s="29" t="str">
        <f ca="1">IFERROR(__xludf.DUMMYFUNCTION("GOOGLETRANSLATE(C5650,""en"",""hr"")"),"Upušteni vijak")</f>
        <v>Upušteni vijak</v>
      </c>
      <c r="D3198" s="28" t="s">
        <v>11</v>
      </c>
      <c r="E3198" s="29">
        <v>1</v>
      </c>
      <c r="F3198" s="17"/>
    </row>
    <row r="3199" spans="1:9" ht="25.5" customHeight="1" x14ac:dyDescent="0.2">
      <c r="A3199" s="27">
        <v>3197</v>
      </c>
      <c r="B3199" s="29" t="s">
        <v>1601</v>
      </c>
      <c r="C3199" s="29" t="str">
        <f ca="1">IFERROR(__xludf.DUMMYFUNCTION("GOOGLETRANSLATE(C5428,""en"",""hr"")"),"Upušteni vijak")</f>
        <v>Upušteni vijak</v>
      </c>
      <c r="D3199" s="28" t="s">
        <v>11</v>
      </c>
      <c r="E3199" s="29">
        <v>1</v>
      </c>
      <c r="F3199" s="17"/>
    </row>
    <row r="3200" spans="1:9" ht="25.5" customHeight="1" x14ac:dyDescent="0.2">
      <c r="A3200" s="27">
        <v>3198</v>
      </c>
      <c r="B3200" s="29" t="s">
        <v>287</v>
      </c>
      <c r="C3200" s="29" t="str">
        <f ca="1">IFERROR(__xludf.DUMMYFUNCTION("GOOGLETRANSLATE(C633,""en"",""hr"")"),"Upušteni vijak")</f>
        <v>Upušteni vijak</v>
      </c>
      <c r="D3200" s="28" t="s">
        <v>11</v>
      </c>
      <c r="E3200" s="29">
        <v>1</v>
      </c>
      <c r="F3200" s="17"/>
      <c r="I3200" s="4" t="b">
        <f>INT(F3198*100)=(F3198*100)</f>
        <v>1</v>
      </c>
    </row>
    <row r="3201" spans="1:9" ht="25.5" customHeight="1" x14ac:dyDescent="0.2">
      <c r="A3201" s="27">
        <v>3199</v>
      </c>
      <c r="B3201" s="29" t="s">
        <v>1496</v>
      </c>
      <c r="C3201" s="29" t="str">
        <f ca="1">IFERROR(__xludf.DUMMYFUNCTION("GOOGLETRANSLATE(C5033,""en"",""hr"")"),"Upušteni vijak")</f>
        <v>Upušteni vijak</v>
      </c>
      <c r="D3201" s="28" t="s">
        <v>11</v>
      </c>
      <c r="E3201" s="29">
        <v>1</v>
      </c>
      <c r="F3201" s="17"/>
    </row>
    <row r="3202" spans="1:9" ht="25.5" customHeight="1" x14ac:dyDescent="0.2">
      <c r="A3202" s="27">
        <v>3200</v>
      </c>
      <c r="B3202" s="29" t="s">
        <v>911</v>
      </c>
      <c r="C3202" s="29" t="str">
        <f ca="1">IFERROR(__xludf.DUMMYFUNCTION("GOOGLETRANSLATE(C2727,""en"",""hr"")"),"Upušteni vijak")</f>
        <v>Upušteni vijak</v>
      </c>
      <c r="D3202" s="28" t="s">
        <v>11</v>
      </c>
      <c r="E3202" s="29">
        <v>1</v>
      </c>
      <c r="F3202" s="17"/>
    </row>
    <row r="3203" spans="1:9" ht="25.5" customHeight="1" x14ac:dyDescent="0.2">
      <c r="A3203" s="27">
        <v>3201</v>
      </c>
      <c r="B3203" s="29" t="s">
        <v>451</v>
      </c>
      <c r="C3203" s="29" t="str">
        <f ca="1">IFERROR(__xludf.DUMMYFUNCTION("GOOGLETRANSLATE(C1087,""en"",""hr"")"),"Upušteni vijak")</f>
        <v>Upušteni vijak</v>
      </c>
      <c r="D3203" s="28" t="s">
        <v>11</v>
      </c>
      <c r="E3203" s="29">
        <v>1</v>
      </c>
      <c r="F3203" s="17"/>
      <c r="I3203" s="4" t="b">
        <f>INT(F3201*100)=(F3201*100)</f>
        <v>1</v>
      </c>
    </row>
    <row r="3204" spans="1:9" ht="25.5" customHeight="1" x14ac:dyDescent="0.2">
      <c r="A3204" s="27">
        <v>3202</v>
      </c>
      <c r="B3204" s="29" t="s">
        <v>1627</v>
      </c>
      <c r="C3204" s="29" t="str">
        <f ca="1">IFERROR(__xludf.DUMMYFUNCTION("GOOGLETRANSLATE(C5480,""en"",""hr"")"),"Upušteni vijak")</f>
        <v>Upušteni vijak</v>
      </c>
      <c r="D3204" s="28" t="s">
        <v>11</v>
      </c>
      <c r="E3204" s="29">
        <v>1</v>
      </c>
      <c r="F3204" s="17"/>
    </row>
    <row r="3205" spans="1:9" ht="25.5" customHeight="1" x14ac:dyDescent="0.2">
      <c r="A3205" s="27">
        <v>3203</v>
      </c>
      <c r="B3205" s="29" t="s">
        <v>619</v>
      </c>
      <c r="C3205" s="29" t="str">
        <f ca="1">IFERROR(__xludf.DUMMYFUNCTION("GOOGLETRANSLATE(C1921,""en"",""hr"")"),"Vijak s ravnom glavom")</f>
        <v>Vijak s ravnom glavom</v>
      </c>
      <c r="D3205" s="28" t="s">
        <v>11</v>
      </c>
      <c r="E3205" s="29">
        <v>1</v>
      </c>
      <c r="F3205" s="17"/>
    </row>
    <row r="3206" spans="1:9" ht="25.5" customHeight="1" x14ac:dyDescent="0.2">
      <c r="A3206" s="27">
        <v>3204</v>
      </c>
      <c r="B3206" s="29" t="s">
        <v>1468</v>
      </c>
      <c r="C3206" s="29" t="str">
        <f ca="1">IFERROR(__xludf.DUMMYFUNCTION("GOOGLETRANSLATE(C4902,""en"",""hr"")"),"Vijak s ravnom glavom")</f>
        <v>Vijak s ravnom glavom</v>
      </c>
      <c r="D3206" s="28" t="s">
        <v>11</v>
      </c>
      <c r="E3206" s="29">
        <v>1</v>
      </c>
      <c r="F3206" s="17"/>
    </row>
    <row r="3207" spans="1:9" ht="25.5" customHeight="1" x14ac:dyDescent="0.2">
      <c r="A3207" s="27">
        <v>3205</v>
      </c>
      <c r="B3207" s="29" t="s">
        <v>1469</v>
      </c>
      <c r="C3207" s="29" t="str">
        <f ca="1">IFERROR(__xludf.DUMMYFUNCTION("GOOGLETRANSLATE(C4903,""en"",""hr"")"),"Vijak s ravnom glavom")</f>
        <v>Vijak s ravnom glavom</v>
      </c>
      <c r="D3207" s="28" t="s">
        <v>11</v>
      </c>
      <c r="E3207" s="29">
        <v>1</v>
      </c>
      <c r="F3207" s="17"/>
      <c r="I3207" s="4" t="b">
        <f>INT(F3205*100)=(F3205*100)</f>
        <v>1</v>
      </c>
    </row>
    <row r="3208" spans="1:9" ht="25.5" customHeight="1" x14ac:dyDescent="0.2">
      <c r="A3208" s="27">
        <v>3206</v>
      </c>
      <c r="B3208" s="29" t="s">
        <v>1489</v>
      </c>
      <c r="C3208" s="29" t="str">
        <f ca="1">IFERROR(__xludf.DUMMYFUNCTION("GOOGLETRANSLATE(C4986,""en"",""hr"")"),"Vijak s ravnom glavom")</f>
        <v>Vijak s ravnom glavom</v>
      </c>
      <c r="D3208" s="28" t="s">
        <v>11</v>
      </c>
      <c r="E3208" s="29">
        <v>1</v>
      </c>
      <c r="F3208" s="17"/>
    </row>
    <row r="3209" spans="1:9" ht="25.5" customHeight="1" x14ac:dyDescent="0.2">
      <c r="A3209" s="27">
        <v>3207</v>
      </c>
      <c r="B3209" s="29" t="s">
        <v>1417</v>
      </c>
      <c r="C3209" s="29" t="str">
        <f ca="1">IFERROR(__xludf.DUMMYFUNCTION("GOOGLETRANSLATE(C4600,""en"",""hr"")"),"Vijak s ravnom glavom")</f>
        <v>Vijak s ravnom glavom</v>
      </c>
      <c r="D3209" s="28" t="s">
        <v>11</v>
      </c>
      <c r="E3209" s="29">
        <v>1</v>
      </c>
      <c r="F3209" s="17"/>
    </row>
    <row r="3210" spans="1:9" ht="25.5" customHeight="1" x14ac:dyDescent="0.2">
      <c r="A3210" s="27">
        <v>3208</v>
      </c>
      <c r="B3210" s="29" t="s">
        <v>423</v>
      </c>
      <c r="C3210" s="29" t="str">
        <f ca="1">IFERROR(__xludf.DUMMYFUNCTION("GOOGLETRANSLATE(C1000,""en"",""hr"")"),"Vijak s ravnom glavom")</f>
        <v>Vijak s ravnom glavom</v>
      </c>
      <c r="D3210" s="28" t="s">
        <v>11</v>
      </c>
      <c r="E3210" s="29">
        <v>1</v>
      </c>
      <c r="F3210" s="17"/>
    </row>
    <row r="3211" spans="1:9" ht="25.5" customHeight="1" x14ac:dyDescent="0.2">
      <c r="A3211" s="27">
        <v>3209</v>
      </c>
      <c r="B3211" s="29" t="s">
        <v>426</v>
      </c>
      <c r="C3211" s="29" t="str">
        <f ca="1">IFERROR(__xludf.DUMMYFUNCTION("GOOGLETRANSLATE(C1011,""en"",""hr"")"),"Vijak s ravnom glavom")</f>
        <v>Vijak s ravnom glavom</v>
      </c>
      <c r="D3211" s="28" t="s">
        <v>11</v>
      </c>
      <c r="E3211" s="29">
        <v>1</v>
      </c>
      <c r="F3211" s="17"/>
    </row>
    <row r="3212" spans="1:9" ht="25.5" customHeight="1" x14ac:dyDescent="0.2">
      <c r="A3212" s="27">
        <v>3210</v>
      </c>
      <c r="B3212" s="29" t="s">
        <v>424</v>
      </c>
      <c r="C3212" s="29" t="str">
        <f ca="1">IFERROR(__xludf.DUMMYFUNCTION("GOOGLETRANSLATE(C1001,""en"",""hr"")"),"Vijak s ravnom glavom")</f>
        <v>Vijak s ravnom glavom</v>
      </c>
      <c r="D3212" s="28" t="s">
        <v>11</v>
      </c>
      <c r="E3212" s="29">
        <v>1</v>
      </c>
      <c r="F3212" s="17"/>
    </row>
    <row r="3213" spans="1:9" ht="25.5" customHeight="1" x14ac:dyDescent="0.2">
      <c r="A3213" s="27">
        <v>3211</v>
      </c>
      <c r="B3213" s="29" t="s">
        <v>422</v>
      </c>
      <c r="C3213" s="29" t="str">
        <f ca="1">IFERROR(__xludf.DUMMYFUNCTION("GOOGLETRANSLATE(C997,""en"",""hr"")"),"Vijak s ravnom glavom")</f>
        <v>Vijak s ravnom glavom</v>
      </c>
      <c r="D3213" s="28" t="s">
        <v>11</v>
      </c>
      <c r="E3213" s="29">
        <v>1</v>
      </c>
      <c r="F3213" s="17"/>
    </row>
    <row r="3214" spans="1:9" ht="25.5" customHeight="1" x14ac:dyDescent="0.2">
      <c r="A3214" s="27">
        <v>3212</v>
      </c>
      <c r="B3214" s="29" t="s">
        <v>165</v>
      </c>
      <c r="C3214" s="29" t="str">
        <f ca="1">IFERROR(__xludf.DUMMYFUNCTION("GOOGLETRANSLATE(C320,""en"",""hr"")"),"Vijak s podignutom sirnom glavom")</f>
        <v>Vijak s podignutom sirnom glavom</v>
      </c>
      <c r="D3214" s="28" t="s">
        <v>11</v>
      </c>
      <c r="E3214" s="29">
        <v>1</v>
      </c>
      <c r="F3214" s="17"/>
    </row>
    <row r="3215" spans="1:9" ht="25.5" customHeight="1" x14ac:dyDescent="0.2">
      <c r="A3215" s="27">
        <v>3213</v>
      </c>
      <c r="B3215" s="29" t="s">
        <v>431</v>
      </c>
      <c r="C3215" s="29" t="str">
        <f ca="1">IFERROR(__xludf.DUMMYFUNCTION("GOOGLETRANSLATE(C1025,""en"",""hr"")"),"imbus vijak")</f>
        <v>imbus vijak</v>
      </c>
      <c r="D3215" s="28" t="s">
        <v>11</v>
      </c>
      <c r="E3215" s="29">
        <v>1</v>
      </c>
      <c r="F3215" s="17"/>
    </row>
    <row r="3216" spans="1:9" ht="25.5" customHeight="1" x14ac:dyDescent="0.2">
      <c r="A3216" s="27">
        <v>3214</v>
      </c>
      <c r="B3216" s="29" t="s">
        <v>160</v>
      </c>
      <c r="C3216" s="29" t="str">
        <f ca="1">IFERROR(__xludf.DUMMYFUNCTION("GOOGLETRANSLATE(C309,""en"",""hr"")"),"imbus vijak")</f>
        <v>imbus vijak</v>
      </c>
      <c r="D3216" s="28" t="s">
        <v>11</v>
      </c>
      <c r="E3216" s="29">
        <v>1</v>
      </c>
      <c r="F3216" s="17"/>
    </row>
    <row r="3217" spans="1:9" ht="25.5" customHeight="1" x14ac:dyDescent="0.2">
      <c r="A3217" s="27">
        <v>3215</v>
      </c>
      <c r="B3217" s="29" t="s">
        <v>491</v>
      </c>
      <c r="C3217" s="29" t="str">
        <f ca="1">IFERROR(__xludf.DUMMYFUNCTION("GOOGLETRANSLATE(C1194,""en"",""hr"")"),"Vijak s ovalnom glavom")</f>
        <v>Vijak s ovalnom glavom</v>
      </c>
      <c r="D3217" s="28" t="s">
        <v>11</v>
      </c>
      <c r="E3217" s="29">
        <v>1</v>
      </c>
      <c r="F3217" s="17"/>
    </row>
    <row r="3218" spans="1:9" ht="25.5" customHeight="1" x14ac:dyDescent="0.2">
      <c r="A3218" s="27">
        <v>3216</v>
      </c>
      <c r="B3218" s="29" t="s">
        <v>1150</v>
      </c>
      <c r="C3218" s="29" t="str">
        <f ca="1">IFERROR(__xludf.DUMMYFUNCTION("GOOGLETRANSLATE(C3731,""en"",""hr"")"),"Vijak s podignutom sirnom glavom")</f>
        <v>Vijak s podignutom sirnom glavom</v>
      </c>
      <c r="D3218" s="28" t="s">
        <v>11</v>
      </c>
      <c r="E3218" s="29">
        <v>1</v>
      </c>
      <c r="F3218" s="17"/>
    </row>
    <row r="3219" spans="1:9" ht="25.5" customHeight="1" x14ac:dyDescent="0.2">
      <c r="A3219" s="27">
        <v>3217</v>
      </c>
      <c r="B3219" s="29" t="s">
        <v>508</v>
      </c>
      <c r="C3219" s="29" t="str">
        <f ca="1">IFERROR(__xludf.DUMMYFUNCTION("GOOGLETRANSLATE(C1282,""en"",""hr"")"),"Vijak s podignutom sirnom glavom")</f>
        <v>Vijak s podignutom sirnom glavom</v>
      </c>
      <c r="D3219" s="28" t="s">
        <v>11</v>
      </c>
      <c r="E3219" s="29">
        <v>1</v>
      </c>
      <c r="F3219" s="17"/>
    </row>
    <row r="3220" spans="1:9" ht="25.5" customHeight="1" x14ac:dyDescent="0.2">
      <c r="A3220" s="27">
        <v>3218</v>
      </c>
      <c r="B3220" s="29" t="s">
        <v>163</v>
      </c>
      <c r="C3220" s="29" t="str">
        <f ca="1">IFERROR(__xludf.DUMMYFUNCTION("GOOGLETRANSLATE(C317,""en"",""hr"")"),"Vijak s podignutom sirnom glavom")</f>
        <v>Vijak s podignutom sirnom glavom</v>
      </c>
      <c r="D3220" s="28" t="s">
        <v>11</v>
      </c>
      <c r="E3220" s="29">
        <v>1</v>
      </c>
      <c r="F3220" s="17"/>
    </row>
    <row r="3221" spans="1:9" ht="25.5" customHeight="1" x14ac:dyDescent="0.2">
      <c r="A3221" s="27">
        <v>3219</v>
      </c>
      <c r="B3221" s="29" t="s">
        <v>434</v>
      </c>
      <c r="C3221" s="29" t="str">
        <f ca="1">IFERROR(__xludf.DUMMYFUNCTION("GOOGLETRANSLATE(C1047,""en"",""hr"")"),"Vijak s ravnom glavom")</f>
        <v>Vijak s ravnom glavom</v>
      </c>
      <c r="D3221" s="28" t="s">
        <v>11</v>
      </c>
      <c r="E3221" s="29">
        <v>1</v>
      </c>
      <c r="F3221" s="17"/>
    </row>
    <row r="3222" spans="1:9" ht="25.5" customHeight="1" x14ac:dyDescent="0.2">
      <c r="A3222" s="27">
        <v>3220</v>
      </c>
      <c r="B3222" s="29" t="s">
        <v>1440</v>
      </c>
      <c r="C3222" s="29" t="str">
        <f ca="1">IFERROR(__xludf.DUMMYFUNCTION("GOOGLETRANSLATE(C4698,""en"",""hr"")"),"Vijak s podignutom sirnom glavom")</f>
        <v>Vijak s podignutom sirnom glavom</v>
      </c>
      <c r="D3222" s="28" t="s">
        <v>11</v>
      </c>
      <c r="E3222" s="29">
        <v>1</v>
      </c>
      <c r="F3222" s="17"/>
    </row>
    <row r="3223" spans="1:9" ht="25.5" customHeight="1" x14ac:dyDescent="0.2">
      <c r="A3223" s="27">
        <v>3221</v>
      </c>
      <c r="B3223" s="29" t="s">
        <v>557</v>
      </c>
      <c r="C3223" s="29" t="str">
        <f ca="1">IFERROR(__xludf.DUMMYFUNCTION("GOOGLETRANSLATE(C1541,""en"",""hr"")"),"Vijak s ravnom glavom")</f>
        <v>Vijak s ravnom glavom</v>
      </c>
      <c r="D3223" s="28" t="s">
        <v>11</v>
      </c>
      <c r="E3223" s="29">
        <v>1</v>
      </c>
      <c r="F3223" s="17"/>
    </row>
    <row r="3224" spans="1:9" ht="25.5" customHeight="1" x14ac:dyDescent="0.2">
      <c r="A3224" s="27">
        <v>3222</v>
      </c>
      <c r="B3224" s="29" t="s">
        <v>398</v>
      </c>
      <c r="C3224" s="29" t="str">
        <f ca="1">IFERROR(__xludf.DUMMYFUNCTION("GOOGLETRANSLATE(C939,""en"",""hr"")"),"Vijak")</f>
        <v>Vijak</v>
      </c>
      <c r="D3224" s="28" t="s">
        <v>11</v>
      </c>
      <c r="E3224" s="29">
        <v>1</v>
      </c>
      <c r="F3224" s="17"/>
    </row>
    <row r="3225" spans="1:9" ht="25.5" customHeight="1" x14ac:dyDescent="0.2">
      <c r="A3225" s="27">
        <v>3223</v>
      </c>
      <c r="B3225" s="29" t="s">
        <v>178</v>
      </c>
      <c r="C3225" s="29" t="str">
        <f ca="1">IFERROR(__xludf.DUMMYFUNCTION("GOOGLETRANSLATE(C362,""en"",""hr"")"),"Vijak s ravnom glavom")</f>
        <v>Vijak s ravnom glavom</v>
      </c>
      <c r="D3225" s="28" t="s">
        <v>11</v>
      </c>
      <c r="E3225" s="29">
        <v>1</v>
      </c>
      <c r="F3225" s="17"/>
    </row>
    <row r="3226" spans="1:9" ht="25.5" customHeight="1" x14ac:dyDescent="0.2">
      <c r="A3226" s="27">
        <v>3224</v>
      </c>
      <c r="B3226" s="29" t="s">
        <v>602</v>
      </c>
      <c r="C3226" s="29" t="str">
        <f ca="1">IFERROR(__xludf.DUMMYFUNCTION("GOOGLETRANSLATE(C1766,""en"",""hr"")"),"Vijak s ravnom glavom")</f>
        <v>Vijak s ravnom glavom</v>
      </c>
      <c r="D3226" s="28" t="s">
        <v>11</v>
      </c>
      <c r="E3226" s="29">
        <v>1</v>
      </c>
      <c r="F3226" s="17"/>
      <c r="I3226" s="4" t="b">
        <f>INT(F3224*100)=(F3224*100)</f>
        <v>1</v>
      </c>
    </row>
    <row r="3227" spans="1:9" ht="25.5" customHeight="1" x14ac:dyDescent="0.2">
      <c r="A3227" s="27">
        <v>3225</v>
      </c>
      <c r="B3227" s="29" t="s">
        <v>184</v>
      </c>
      <c r="C3227" s="29" t="str">
        <f ca="1">IFERROR(__xludf.DUMMYFUNCTION("GOOGLETRANSLATE(C374,""en"",""hr"")"),"Vijak s ravnom glavom")</f>
        <v>Vijak s ravnom glavom</v>
      </c>
      <c r="D3227" s="28" t="s">
        <v>11</v>
      </c>
      <c r="E3227" s="29">
        <v>1</v>
      </c>
      <c r="F3227" s="17"/>
    </row>
    <row r="3228" spans="1:9" ht="25.5" customHeight="1" x14ac:dyDescent="0.2">
      <c r="A3228" s="27">
        <v>3226</v>
      </c>
      <c r="B3228" s="29" t="s">
        <v>1107</v>
      </c>
      <c r="C3228" s="29" t="str">
        <f ca="1">IFERROR(__xludf.DUMMYFUNCTION("GOOGLETRANSLATE(C3580,""en"",""hr"")"),"Vijak s ravnom glavom")</f>
        <v>Vijak s ravnom glavom</v>
      </c>
      <c r="D3228" s="28" t="s">
        <v>11</v>
      </c>
      <c r="E3228" s="29">
        <v>1</v>
      </c>
      <c r="F3228" s="17"/>
    </row>
    <row r="3229" spans="1:9" ht="25.5" customHeight="1" x14ac:dyDescent="0.2">
      <c r="A3229" s="27">
        <v>3227</v>
      </c>
      <c r="B3229" s="29" t="s">
        <v>1108</v>
      </c>
      <c r="C3229" s="29" t="str">
        <f ca="1">IFERROR(__xludf.DUMMYFUNCTION("GOOGLETRANSLATE(C3581,""en"",""hr"")"),"Vijak s ravnom glavom")</f>
        <v>Vijak s ravnom glavom</v>
      </c>
      <c r="D3229" s="28" t="s">
        <v>11</v>
      </c>
      <c r="E3229" s="29">
        <v>1</v>
      </c>
      <c r="F3229" s="17"/>
      <c r="I3229" s="4" t="b">
        <f>INT(F3227*100)=(F3227*100)</f>
        <v>1</v>
      </c>
    </row>
    <row r="3230" spans="1:9" ht="25.5" customHeight="1" x14ac:dyDescent="0.2">
      <c r="A3230" s="27">
        <v>3228</v>
      </c>
      <c r="B3230" s="29" t="s">
        <v>1092</v>
      </c>
      <c r="C3230" s="29" t="str">
        <f ca="1">IFERROR(__xludf.DUMMYFUNCTION("GOOGLETRANSLATE(C3517,""en"",""hr"")"),"Vijak s ravnom glavom")</f>
        <v>Vijak s ravnom glavom</v>
      </c>
      <c r="D3230" s="28" t="s">
        <v>11</v>
      </c>
      <c r="E3230" s="29">
        <v>1</v>
      </c>
      <c r="F3230" s="17"/>
    </row>
    <row r="3231" spans="1:9" ht="25.5" customHeight="1" x14ac:dyDescent="0.2">
      <c r="A3231" s="27">
        <v>3229</v>
      </c>
      <c r="B3231" s="29" t="s">
        <v>529</v>
      </c>
      <c r="C3231" s="29" t="str">
        <f ca="1">IFERROR(__xludf.DUMMYFUNCTION("GOOGLETRANSLATE(C1377,""en"",""hr"")"),"imbus vijak")</f>
        <v>imbus vijak</v>
      </c>
      <c r="D3231" s="28" t="s">
        <v>11</v>
      </c>
      <c r="E3231" s="29">
        <v>1</v>
      </c>
      <c r="F3231" s="17"/>
    </row>
    <row r="3232" spans="1:9" ht="25.5" customHeight="1" x14ac:dyDescent="0.2">
      <c r="A3232" s="27">
        <v>3230</v>
      </c>
      <c r="B3232" s="29" t="s">
        <v>548</v>
      </c>
      <c r="C3232" s="29" t="str">
        <f ca="1">IFERROR(__xludf.DUMMYFUNCTION("GOOGLETRANSLATE(C1467,""en"",""hr"")"),"Vijak s ravnom glavom s prorezima")</f>
        <v>Vijak s ravnom glavom s prorezima</v>
      </c>
      <c r="D3232" s="28" t="s">
        <v>11</v>
      </c>
      <c r="E3232" s="29">
        <v>1</v>
      </c>
      <c r="F3232" s="17"/>
    </row>
    <row r="3233" spans="1:9" ht="25.5" customHeight="1" x14ac:dyDescent="0.2">
      <c r="A3233" s="27">
        <v>3231</v>
      </c>
      <c r="B3233" s="29" t="s">
        <v>1441</v>
      </c>
      <c r="C3233" s="29" t="str">
        <f ca="1">IFERROR(__xludf.DUMMYFUNCTION("GOOGLETRANSLATE(C4701,""en"",""hr"")"),"Vijak s ravnom glavom s prorezima")</f>
        <v>Vijak s ravnom glavom s prorezima</v>
      </c>
      <c r="D3233" s="28" t="s">
        <v>11</v>
      </c>
      <c r="E3233" s="29">
        <v>1</v>
      </c>
      <c r="F3233" s="17"/>
      <c r="I3233" s="4" t="b">
        <f>INT(F3231*100)=(F3231*100)</f>
        <v>1</v>
      </c>
    </row>
    <row r="3234" spans="1:9" ht="25.5" customHeight="1" x14ac:dyDescent="0.2">
      <c r="A3234" s="27">
        <v>3232</v>
      </c>
      <c r="B3234" s="29" t="s">
        <v>1063</v>
      </c>
      <c r="C3234" s="29" t="str">
        <f ca="1">IFERROR(__xludf.DUMMYFUNCTION("GOOGLETRANSLATE(C3461,""en"",""hr"")"),"Vijak s podignutom sirnom glavom")</f>
        <v>Vijak s podignutom sirnom glavom</v>
      </c>
      <c r="D3234" s="28" t="s">
        <v>11</v>
      </c>
      <c r="E3234" s="29">
        <v>1</v>
      </c>
      <c r="F3234" s="17"/>
    </row>
    <row r="3235" spans="1:9" ht="25.5" customHeight="1" x14ac:dyDescent="0.2">
      <c r="A3235" s="27">
        <v>3233</v>
      </c>
      <c r="B3235" s="29" t="s">
        <v>1488</v>
      </c>
      <c r="C3235" s="29" t="str">
        <f ca="1">IFERROR(__xludf.DUMMYFUNCTION("GOOGLETRANSLATE(C4981,""en"",""hr"")"),"Vijak")</f>
        <v>Vijak</v>
      </c>
      <c r="D3235" s="28" t="s">
        <v>11</v>
      </c>
      <c r="E3235" s="29">
        <v>1</v>
      </c>
      <c r="F3235" s="17"/>
    </row>
    <row r="3236" spans="1:9" ht="25.5" customHeight="1" x14ac:dyDescent="0.2">
      <c r="A3236" s="27">
        <v>3234</v>
      </c>
      <c r="B3236" s="29" t="s">
        <v>1585</v>
      </c>
      <c r="C3236" s="29" t="str">
        <f ca="1">IFERROR(__xludf.DUMMYFUNCTION("GOOGLETRANSLATE(C5365,""en"",""hr"")"),"Vijak s podignutom sirnom glavom")</f>
        <v>Vijak s podignutom sirnom glavom</v>
      </c>
      <c r="D3236" s="28" t="s">
        <v>11</v>
      </c>
      <c r="E3236" s="29">
        <v>1</v>
      </c>
      <c r="F3236" s="17"/>
    </row>
    <row r="3237" spans="1:9" ht="25.5" customHeight="1" x14ac:dyDescent="0.2">
      <c r="A3237" s="27">
        <v>3235</v>
      </c>
      <c r="B3237" s="29" t="s">
        <v>1448</v>
      </c>
      <c r="C3237" s="29" t="str">
        <f ca="1">IFERROR(__xludf.DUMMYFUNCTION("GOOGLETRANSLATE(C4723,""en"",""hr"")"),"Vijak")</f>
        <v>Vijak</v>
      </c>
      <c r="D3237" s="28" t="s">
        <v>11</v>
      </c>
      <c r="E3237" s="29">
        <v>1</v>
      </c>
      <c r="F3237" s="17"/>
    </row>
    <row r="3238" spans="1:9" ht="25.5" customHeight="1" x14ac:dyDescent="0.2">
      <c r="A3238" s="27">
        <v>3236</v>
      </c>
      <c r="B3238" s="29" t="s">
        <v>1455</v>
      </c>
      <c r="C3238" s="29" t="str">
        <f ca="1">IFERROR(__xludf.DUMMYFUNCTION("GOOGLETRANSLATE(C4766,""en"",""hr"")"),"Vijak")</f>
        <v>Vijak</v>
      </c>
      <c r="D3238" s="28" t="s">
        <v>11</v>
      </c>
      <c r="E3238" s="29">
        <v>1</v>
      </c>
      <c r="F3238" s="17"/>
    </row>
    <row r="3239" spans="1:9" ht="25.5" customHeight="1" x14ac:dyDescent="0.2">
      <c r="A3239" s="27">
        <v>3237</v>
      </c>
      <c r="B3239" s="29" t="s">
        <v>1475</v>
      </c>
      <c r="C3239" s="29" t="str">
        <f ca="1">IFERROR(__xludf.DUMMYFUNCTION("GOOGLETRANSLATE(C4959,""en"",""hr"")"),"Vijak s podignutom sirnom glavom")</f>
        <v>Vijak s podignutom sirnom glavom</v>
      </c>
      <c r="D3239" s="28" t="s">
        <v>11</v>
      </c>
      <c r="E3239" s="29">
        <v>1</v>
      </c>
      <c r="F3239" s="17"/>
    </row>
    <row r="3240" spans="1:9" ht="25.5" customHeight="1" x14ac:dyDescent="0.2">
      <c r="A3240" s="27">
        <v>3238</v>
      </c>
      <c r="B3240" s="29" t="s">
        <v>1476</v>
      </c>
      <c r="C3240" s="29" t="str">
        <f ca="1">IFERROR(__xludf.DUMMYFUNCTION("GOOGLETRANSLATE(C4960,""en"",""hr"")"),"Upušteni vijak")</f>
        <v>Upušteni vijak</v>
      </c>
      <c r="D3240" s="28" t="s">
        <v>11</v>
      </c>
      <c r="E3240" s="29">
        <v>1</v>
      </c>
      <c r="F3240" s="17"/>
    </row>
    <row r="3241" spans="1:9" ht="25.5" customHeight="1" x14ac:dyDescent="0.2">
      <c r="A3241" s="27">
        <v>3239</v>
      </c>
      <c r="B3241" s="29" t="s">
        <v>875</v>
      </c>
      <c r="C3241" s="29" t="str">
        <f ca="1">IFERROR(__xludf.DUMMYFUNCTION("GOOGLETRANSLATE(C2566,""en"",""hr"")"),"Očni vijak")</f>
        <v>Očni vijak</v>
      </c>
      <c r="D3241" s="28" t="s">
        <v>11</v>
      </c>
      <c r="E3241" s="29">
        <v>1</v>
      </c>
      <c r="F3241" s="17"/>
    </row>
    <row r="3242" spans="1:9" ht="25.5" customHeight="1" x14ac:dyDescent="0.2">
      <c r="A3242" s="27">
        <v>3240</v>
      </c>
      <c r="B3242" s="29" t="s">
        <v>1026</v>
      </c>
      <c r="C3242" s="29" t="str">
        <f ca="1">IFERROR(__xludf.DUMMYFUNCTION("GOOGLETRANSLATE(C3333,""en"",""hr"")"),"Očni vijak")</f>
        <v>Očni vijak</v>
      </c>
      <c r="D3242" s="28" t="s">
        <v>11</v>
      </c>
      <c r="E3242" s="29">
        <v>1</v>
      </c>
      <c r="F3242" s="17"/>
    </row>
    <row r="3243" spans="1:9" ht="25.5" customHeight="1" x14ac:dyDescent="0.2">
      <c r="A3243" s="27">
        <v>3241</v>
      </c>
      <c r="B3243" s="29" t="s">
        <v>772</v>
      </c>
      <c r="C3243" s="29" t="str">
        <f ca="1">IFERROR(__xludf.DUMMYFUNCTION("GOOGLETRANSLATE(C2401,""en"",""hr"")"),"Očni vijak")</f>
        <v>Očni vijak</v>
      </c>
      <c r="D3243" s="28" t="s">
        <v>11</v>
      </c>
      <c r="E3243" s="29">
        <v>1</v>
      </c>
      <c r="F3243" s="17"/>
    </row>
    <row r="3244" spans="1:9" ht="25.5" customHeight="1" x14ac:dyDescent="0.2">
      <c r="A3244" s="27">
        <v>3242</v>
      </c>
      <c r="B3244" s="29" t="s">
        <v>1002</v>
      </c>
      <c r="C3244" s="29" t="str">
        <f ca="1">IFERROR(__xludf.DUMMYFUNCTION("GOOGLETRANSLATE(C3198,""en"",""hr"")"),"Očni vijak")</f>
        <v>Očni vijak</v>
      </c>
      <c r="D3244" s="28" t="s">
        <v>11</v>
      </c>
      <c r="E3244" s="29">
        <v>1</v>
      </c>
      <c r="F3244" s="17"/>
    </row>
    <row r="3245" spans="1:9" ht="25.5" customHeight="1" x14ac:dyDescent="0.2">
      <c r="A3245" s="27">
        <v>3243</v>
      </c>
      <c r="B3245" s="29" t="s">
        <v>1487</v>
      </c>
      <c r="C3245" s="29" t="str">
        <f ca="1">IFERROR(__xludf.DUMMYFUNCTION("GOOGLETRANSLATE(C4977,""en"",""hr"")"),"Očni vijak")</f>
        <v>Očni vijak</v>
      </c>
      <c r="D3245" s="28" t="s">
        <v>11</v>
      </c>
      <c r="E3245" s="29">
        <v>1</v>
      </c>
      <c r="F3245" s="17"/>
    </row>
    <row r="3246" spans="1:9" ht="25.5" customHeight="1" x14ac:dyDescent="0.2">
      <c r="A3246" s="27">
        <v>3244</v>
      </c>
      <c r="B3246" s="29" t="s">
        <v>963</v>
      </c>
      <c r="C3246" s="29" t="str">
        <f ca="1">IFERROR(__xludf.DUMMYFUNCTION("GOOGLETRANSLATE(C3064,""en"",""hr"")"),"Nosivi vijak kpl.")</f>
        <v>Nosivi vijak kpl.</v>
      </c>
      <c r="D3246" s="28" t="s">
        <v>11</v>
      </c>
      <c r="E3246" s="29">
        <v>1</v>
      </c>
      <c r="F3246" s="17"/>
    </row>
    <row r="3247" spans="1:9" ht="25.5" customHeight="1" x14ac:dyDescent="0.2">
      <c r="A3247" s="27">
        <v>3245</v>
      </c>
      <c r="B3247" s="29" t="s">
        <v>978</v>
      </c>
      <c r="C3247" s="29" t="str">
        <f ca="1">IFERROR(__xludf.DUMMYFUNCTION("GOOGLETRANSLATE(C3116,""en"",""hr"")"),"Nosivi vijak kpl.")</f>
        <v>Nosivi vijak kpl.</v>
      </c>
      <c r="D3247" s="28" t="s">
        <v>11</v>
      </c>
      <c r="E3247" s="29">
        <v>1</v>
      </c>
      <c r="F3247" s="17"/>
    </row>
    <row r="3248" spans="1:9" ht="25.5" customHeight="1" x14ac:dyDescent="0.2">
      <c r="A3248" s="27">
        <v>3246</v>
      </c>
      <c r="B3248" s="29" t="s">
        <v>965</v>
      </c>
      <c r="C3248" s="29" t="str">
        <f ca="1">IFERROR(__xludf.DUMMYFUNCTION("GOOGLETRANSLATE(C3070,""en"",""hr"")"),"Nosivi vijak kpl.")</f>
        <v>Nosivi vijak kpl.</v>
      </c>
      <c r="D3248" s="28" t="s">
        <v>11</v>
      </c>
      <c r="E3248" s="29">
        <v>1</v>
      </c>
      <c r="F3248" s="17"/>
    </row>
    <row r="3249" spans="1:9" ht="25.5" customHeight="1" x14ac:dyDescent="0.2">
      <c r="A3249" s="27">
        <v>3247</v>
      </c>
      <c r="B3249" s="29" t="s">
        <v>1546</v>
      </c>
      <c r="C3249" s="29" t="str">
        <f ca="1">IFERROR(__xludf.DUMMYFUNCTION("GOOGLETRANSLATE(C5263,""en"",""hr"")"),"Nosivi vijak kpl.")</f>
        <v>Nosivi vijak kpl.</v>
      </c>
      <c r="D3249" s="28" t="s">
        <v>11</v>
      </c>
      <c r="E3249" s="29">
        <v>1</v>
      </c>
      <c r="F3249" s="17"/>
    </row>
    <row r="3250" spans="1:9" ht="25.5" customHeight="1" x14ac:dyDescent="0.2">
      <c r="A3250" s="27">
        <v>3248</v>
      </c>
      <c r="B3250" s="29" t="s">
        <v>1700</v>
      </c>
      <c r="C3250" s="29" t="str">
        <f ca="1">IFERROR(__xludf.DUMMYFUNCTION("GOOGLETRANSLATE(C5902,""en"",""hr"")"),"Nosivi vijak kpl.")</f>
        <v>Nosivi vijak kpl.</v>
      </c>
      <c r="D3250" s="28" t="s">
        <v>11</v>
      </c>
      <c r="E3250" s="29">
        <v>1</v>
      </c>
      <c r="F3250" s="17"/>
    </row>
    <row r="3251" spans="1:9" ht="25.5" customHeight="1" x14ac:dyDescent="0.2">
      <c r="A3251" s="27">
        <v>3249</v>
      </c>
      <c r="B3251" s="29" t="s">
        <v>558</v>
      </c>
      <c r="C3251" s="29" t="str">
        <f ca="1">IFERROR(__xludf.DUMMYFUNCTION("GOOGLETRANSLATE(C1546,""en"",""hr"")"),"Nosivi vijak kpl.")</f>
        <v>Nosivi vijak kpl.</v>
      </c>
      <c r="D3251" s="28" t="s">
        <v>11</v>
      </c>
      <c r="E3251" s="29">
        <v>1</v>
      </c>
      <c r="F3251" s="17"/>
      <c r="I3251" s="4" t="b">
        <f>INT(F3249*100)=(F3249*100)</f>
        <v>1</v>
      </c>
    </row>
    <row r="3252" spans="1:9" ht="25.5" customHeight="1" x14ac:dyDescent="0.2">
      <c r="A3252" s="27">
        <v>3250</v>
      </c>
      <c r="B3252" s="29" t="s">
        <v>1027</v>
      </c>
      <c r="C3252" s="29" t="str">
        <f ca="1">IFERROR(__xludf.DUMMYFUNCTION("GOOGLETRANSLATE(C3336,""en"",""hr"")"),"Nosivi vijak kpl.")</f>
        <v>Nosivi vijak kpl.</v>
      </c>
      <c r="D3252" s="28" t="s">
        <v>11</v>
      </c>
      <c r="E3252" s="29">
        <v>1</v>
      </c>
      <c r="F3252" s="17"/>
    </row>
    <row r="3253" spans="1:9" ht="25.5" customHeight="1" x14ac:dyDescent="0.2">
      <c r="A3253" s="27">
        <v>3251</v>
      </c>
      <c r="B3253" s="29" t="s">
        <v>1004</v>
      </c>
      <c r="C3253" s="29" t="str">
        <f ca="1">IFERROR(__xludf.DUMMYFUNCTION("GOOGLETRANSLATE(C3201,""en"",""hr"")"),"Nosivi vijak kpl.")</f>
        <v>Nosivi vijak kpl.</v>
      </c>
      <c r="D3253" s="28" t="s">
        <v>11</v>
      </c>
      <c r="E3253" s="29">
        <v>1</v>
      </c>
      <c r="F3253" s="17"/>
    </row>
    <row r="3254" spans="1:9" ht="25.5" customHeight="1" x14ac:dyDescent="0.2">
      <c r="A3254" s="27">
        <v>3252</v>
      </c>
      <c r="B3254" s="29" t="s">
        <v>969</v>
      </c>
      <c r="C3254" s="29" t="str">
        <f ca="1">IFERROR(__xludf.DUMMYFUNCTION("GOOGLETRANSLATE(C3081,""en"",""hr"")"),"Nosivi vijak")</f>
        <v>Nosivi vijak</v>
      </c>
      <c r="D3254" s="28" t="s">
        <v>11</v>
      </c>
      <c r="E3254" s="29">
        <v>1</v>
      </c>
      <c r="F3254" s="17"/>
      <c r="I3254" s="4" t="b">
        <f>INT(F2899*100)=(F2899*100)</f>
        <v>1</v>
      </c>
    </row>
    <row r="3255" spans="1:9" ht="25.5" customHeight="1" x14ac:dyDescent="0.2">
      <c r="A3255" s="27">
        <v>3253</v>
      </c>
      <c r="B3255" s="29" t="s">
        <v>559</v>
      </c>
      <c r="C3255" s="29" t="str">
        <f ca="1">IFERROR(__xludf.DUMMYFUNCTION("GOOGLETRANSLATE(C1547,""en"",""hr"")"),"Nosivi vijak kpl.")</f>
        <v>Nosivi vijak kpl.</v>
      </c>
      <c r="D3255" s="28" t="s">
        <v>11</v>
      </c>
      <c r="E3255" s="29">
        <v>1</v>
      </c>
      <c r="F3255" s="17"/>
    </row>
    <row r="3256" spans="1:9" ht="25.5" customHeight="1" x14ac:dyDescent="0.2">
      <c r="A3256" s="27">
        <v>3254</v>
      </c>
      <c r="B3256" s="29" t="s">
        <v>1725</v>
      </c>
      <c r="C3256" s="29" t="str">
        <f ca="1">IFERROR(__xludf.DUMMYFUNCTION("GOOGLETRANSLATE(C5990,""en"",""hr"")"),"Nosivi vijak kpl.")</f>
        <v>Nosivi vijak kpl.</v>
      </c>
      <c r="D3256" s="28" t="s">
        <v>11</v>
      </c>
      <c r="E3256" s="29">
        <v>1</v>
      </c>
      <c r="F3256" s="17"/>
    </row>
    <row r="3257" spans="1:9" ht="25.5" customHeight="1" x14ac:dyDescent="0.2">
      <c r="A3257" s="27">
        <v>3255</v>
      </c>
      <c r="B3257" s="29" t="s">
        <v>1724</v>
      </c>
      <c r="C3257" s="29" t="str">
        <f ca="1">IFERROR(__xludf.DUMMYFUNCTION("GOOGLETRANSLATE(C5988,""en"",""hr"")"),"Screy, nagnute glave")</f>
        <v>Screy, nagnute glave</v>
      </c>
      <c r="D3257" s="28" t="s">
        <v>11</v>
      </c>
      <c r="E3257" s="29">
        <v>1</v>
      </c>
      <c r="F3257" s="17"/>
    </row>
    <row r="3258" spans="1:9" ht="25.5" customHeight="1" x14ac:dyDescent="0.2">
      <c r="A3258" s="27">
        <v>3256</v>
      </c>
      <c r="B3258" s="29" t="s">
        <v>1024</v>
      </c>
      <c r="C3258" s="29" t="str">
        <f ca="1">IFERROR(__xludf.DUMMYFUNCTION("GOOGLETRANSLATE(C3318,""en"",""hr"")"),"Vijak s okruglom glavom")</f>
        <v>Vijak s okruglom glavom</v>
      </c>
      <c r="D3258" s="28" t="s">
        <v>11</v>
      </c>
      <c r="E3258" s="29">
        <v>1</v>
      </c>
      <c r="F3258" s="17"/>
      <c r="I3258" s="4" t="b">
        <f>INT(F3256*100)=(F3256*100)</f>
        <v>1</v>
      </c>
    </row>
    <row r="3259" spans="1:9" ht="25.5" customHeight="1" x14ac:dyDescent="0.2">
      <c r="A3259" s="27">
        <v>3257</v>
      </c>
      <c r="B3259" s="29" t="s">
        <v>309</v>
      </c>
      <c r="C3259" s="29" t="str">
        <f ca="1">IFERROR(__xludf.DUMMYFUNCTION("GOOGLETRANSLATE(C685,""en"",""hr"")"),"Vijčani čep")</f>
        <v>Vijčani čep</v>
      </c>
      <c r="D3259" s="28" t="s">
        <v>11</v>
      </c>
      <c r="E3259" s="29">
        <v>1</v>
      </c>
      <c r="F3259" s="17"/>
    </row>
    <row r="3260" spans="1:9" ht="25.5" customHeight="1" x14ac:dyDescent="0.2">
      <c r="A3260" s="27">
        <v>3258</v>
      </c>
      <c r="B3260" s="29" t="s">
        <v>88</v>
      </c>
      <c r="C3260" s="29" t="str">
        <f ca="1">IFERROR(__xludf.DUMMYFUNCTION("GOOGLETRANSLATE(C202,""en"",""hr"")"),"Vijčani čep I6KT")</f>
        <v>Vijčani čep I6KT</v>
      </c>
      <c r="D3260" s="28" t="s">
        <v>11</v>
      </c>
      <c r="E3260" s="29">
        <v>1</v>
      </c>
      <c r="F3260" s="17"/>
    </row>
    <row r="3261" spans="1:9" ht="25.5" customHeight="1" x14ac:dyDescent="0.2">
      <c r="A3261" s="27">
        <v>3259</v>
      </c>
      <c r="B3261" s="29" t="s">
        <v>308</v>
      </c>
      <c r="C3261" s="29" t="str">
        <f ca="1">IFERROR(__xludf.DUMMYFUNCTION("GOOGLETRANSLATE(C684,""en"",""hr"")"),"Grub Srew")</f>
        <v>Grub Srew</v>
      </c>
      <c r="D3261" s="28" t="s">
        <v>11</v>
      </c>
      <c r="E3261" s="29">
        <v>1</v>
      </c>
      <c r="F3261" s="17"/>
    </row>
    <row r="3262" spans="1:9" ht="25.5" customHeight="1" x14ac:dyDescent="0.2">
      <c r="A3262" s="27">
        <v>3260</v>
      </c>
      <c r="B3262" s="29" t="s">
        <v>1364</v>
      </c>
      <c r="C3262" s="29" t="str">
        <f ca="1">IFERROR(__xludf.DUMMYFUNCTION("GOOGLETRANSLATE(C4323,""en"",""hr"")"),"Pin")</f>
        <v>Pin</v>
      </c>
      <c r="D3262" s="28" t="s">
        <v>11</v>
      </c>
      <c r="E3262" s="29">
        <v>1</v>
      </c>
      <c r="F3262" s="17"/>
    </row>
    <row r="3263" spans="1:9" ht="25.5" customHeight="1" x14ac:dyDescent="0.2">
      <c r="A3263" s="27">
        <v>3261</v>
      </c>
      <c r="B3263" s="29" t="s">
        <v>1672</v>
      </c>
      <c r="C3263" s="29" t="str">
        <f ca="1">IFERROR(__xludf.DUMMYFUNCTION("GOOGLETRANSLATE(C5771,""en"",""hr"")"),"Grub Srew")</f>
        <v>Grub Srew</v>
      </c>
      <c r="D3263" s="28" t="s">
        <v>11</v>
      </c>
      <c r="E3263" s="29">
        <v>1</v>
      </c>
      <c r="F3263" s="17"/>
    </row>
    <row r="3264" spans="1:9" ht="25.5" customHeight="1" x14ac:dyDescent="0.2">
      <c r="A3264" s="27">
        <v>3262</v>
      </c>
      <c r="B3264" s="29" t="s">
        <v>484</v>
      </c>
      <c r="C3264" s="29" t="str">
        <f ca="1">IFERROR(__xludf.DUMMYFUNCTION("GOOGLETRANSLATE(C1164,""en"",""hr"")"),"Grub Srew")</f>
        <v>Grub Srew</v>
      </c>
      <c r="D3264" s="28" t="s">
        <v>11</v>
      </c>
      <c r="E3264" s="29">
        <v>1</v>
      </c>
      <c r="F3264" s="17"/>
    </row>
    <row r="3265" spans="1:9" ht="25.5" customHeight="1" x14ac:dyDescent="0.2">
      <c r="A3265" s="27">
        <v>3263</v>
      </c>
      <c r="B3265" s="29" t="s">
        <v>1547</v>
      </c>
      <c r="C3265" s="29" t="str">
        <f ca="1">IFERROR(__xludf.DUMMYFUNCTION("GOOGLETRANSLATE(C5268,""en"",""hr"")"),"Pin")</f>
        <v>Pin</v>
      </c>
      <c r="D3265" s="28" t="s">
        <v>11</v>
      </c>
      <c r="E3265" s="29">
        <v>1</v>
      </c>
      <c r="F3265" s="17"/>
    </row>
    <row r="3266" spans="1:9" ht="25.5" customHeight="1" x14ac:dyDescent="0.2">
      <c r="A3266" s="27">
        <v>3264</v>
      </c>
      <c r="B3266" s="29" t="s">
        <v>1534</v>
      </c>
      <c r="C3266" s="29" t="str">
        <f ca="1">IFERROR(__xludf.DUMMYFUNCTION("GOOGLETRANSLATE(C5196,""en"",""hr"")"),"Vijak")</f>
        <v>Vijak</v>
      </c>
      <c r="D3266" s="28" t="s">
        <v>11</v>
      </c>
      <c r="E3266" s="29">
        <v>1</v>
      </c>
      <c r="F3266" s="17"/>
    </row>
    <row r="3267" spans="1:9" ht="25.5" customHeight="1" x14ac:dyDescent="0.2">
      <c r="A3267" s="27">
        <v>3265</v>
      </c>
      <c r="B3267" s="29" t="s">
        <v>1505</v>
      </c>
      <c r="C3267" s="29" t="str">
        <f ca="1">IFERROR(__xludf.DUMMYFUNCTION("GOOGLETRANSLATE(C5057,""en"",""hr"")"),"Orah")</f>
        <v>Orah</v>
      </c>
      <c r="D3267" s="28" t="s">
        <v>11</v>
      </c>
      <c r="E3267" s="29">
        <v>1</v>
      </c>
      <c r="F3267" s="17"/>
    </row>
    <row r="3268" spans="1:9" ht="25.5" customHeight="1" x14ac:dyDescent="0.2">
      <c r="A3268" s="27">
        <v>3266</v>
      </c>
      <c r="B3268" s="29" t="s">
        <v>975</v>
      </c>
      <c r="C3268" s="29" t="str">
        <f ca="1">IFERROR(__xludf.DUMMYFUNCTION("GOOGLETRANSLATE(C3108,""en"",""hr"")"),"Orah")</f>
        <v>Orah</v>
      </c>
      <c r="D3268" s="28" t="s">
        <v>11</v>
      </c>
      <c r="E3268" s="29">
        <v>1</v>
      </c>
      <c r="F3268" s="17"/>
    </row>
    <row r="3269" spans="1:9" ht="25.5" customHeight="1" x14ac:dyDescent="0.2">
      <c r="A3269" s="27">
        <v>3267</v>
      </c>
      <c r="B3269" s="29" t="s">
        <v>277</v>
      </c>
      <c r="C3269" s="29" t="str">
        <f ca="1">IFERROR(__xludf.DUMMYFUNCTION("GOOGLETRANSLATE(C608,""en"",""hr"")"),"Orah")</f>
        <v>Orah</v>
      </c>
      <c r="D3269" s="28" t="s">
        <v>11</v>
      </c>
      <c r="E3269" s="29">
        <v>1</v>
      </c>
      <c r="F3269" s="17"/>
    </row>
    <row r="3270" spans="1:9" ht="25.5" customHeight="1" x14ac:dyDescent="0.2">
      <c r="A3270" s="27">
        <v>3268</v>
      </c>
      <c r="B3270" s="29" t="s">
        <v>263</v>
      </c>
      <c r="C3270" s="29" t="str">
        <f ca="1">IFERROR(__xludf.DUMMYFUNCTION("GOOGLETRANSLATE(C575,""en"",""hr"")"),"Orah")</f>
        <v>Orah</v>
      </c>
      <c r="D3270" s="28" t="s">
        <v>11</v>
      </c>
      <c r="E3270" s="29">
        <v>1</v>
      </c>
      <c r="F3270" s="17"/>
    </row>
    <row r="3271" spans="1:9" ht="25.5" customHeight="1" x14ac:dyDescent="0.2">
      <c r="A3271" s="27">
        <v>3269</v>
      </c>
      <c r="B3271" s="29" t="s">
        <v>1449</v>
      </c>
      <c r="C3271" s="29" t="str">
        <f ca="1">IFERROR(__xludf.DUMMYFUNCTION("GOOGLETRANSLATE(C4730,""en"",""hr"")"),"Orah")</f>
        <v>Orah</v>
      </c>
      <c r="D3271" s="28" t="s">
        <v>11</v>
      </c>
      <c r="E3271" s="29">
        <v>1</v>
      </c>
      <c r="F3271" s="17"/>
    </row>
    <row r="3272" spans="1:9" ht="25.5" customHeight="1" x14ac:dyDescent="0.2">
      <c r="A3272" s="27">
        <v>3270</v>
      </c>
      <c r="B3272" s="29" t="s">
        <v>164</v>
      </c>
      <c r="C3272" s="29" t="str">
        <f ca="1">IFERROR(__xludf.DUMMYFUNCTION("GOOGLETRANSLATE(C319,""en"",""hr"")"),"Orah")</f>
        <v>Orah</v>
      </c>
      <c r="D3272" s="28" t="s">
        <v>11</v>
      </c>
      <c r="E3272" s="29">
        <v>1</v>
      </c>
      <c r="F3272" s="17"/>
    </row>
    <row r="3273" spans="1:9" ht="25.5" customHeight="1" x14ac:dyDescent="0.2">
      <c r="A3273" s="27">
        <v>3271</v>
      </c>
      <c r="B3273" s="29" t="s">
        <v>554</v>
      </c>
      <c r="C3273" s="29" t="str">
        <f ca="1">IFERROR(__xludf.DUMMYFUNCTION("GOOGLETRANSLATE(C1509,""en"",""hr"")"),"Orah")</f>
        <v>Orah</v>
      </c>
      <c r="D3273" s="28" t="s">
        <v>11</v>
      </c>
      <c r="E3273" s="29">
        <v>1</v>
      </c>
      <c r="F3273" s="17"/>
    </row>
    <row r="3274" spans="1:9" ht="25.5" customHeight="1" x14ac:dyDescent="0.2">
      <c r="A3274" s="27">
        <v>3272</v>
      </c>
      <c r="B3274" s="29" t="s">
        <v>686</v>
      </c>
      <c r="C3274" s="29" t="str">
        <f ca="1">IFERROR(__xludf.DUMMYFUNCTION("GOOGLETRANSLATE(C2165,""en"",""hr"")"),"Orah")</f>
        <v>Orah</v>
      </c>
      <c r="D3274" s="28" t="s">
        <v>11</v>
      </c>
      <c r="E3274" s="29">
        <v>1</v>
      </c>
      <c r="F3274" s="17"/>
    </row>
    <row r="3275" spans="1:9" ht="25.5" customHeight="1" x14ac:dyDescent="0.2">
      <c r="A3275" s="27">
        <v>3273</v>
      </c>
      <c r="B3275" s="29" t="s">
        <v>625</v>
      </c>
      <c r="C3275" s="29" t="str">
        <f ca="1">IFERROR(__xludf.DUMMYFUNCTION("GOOGLETRANSLATE(C1934,""en"",""hr"")"),"Orah")</f>
        <v>Orah</v>
      </c>
      <c r="D3275" s="28" t="s">
        <v>11</v>
      </c>
      <c r="E3275" s="29">
        <v>1</v>
      </c>
      <c r="F3275" s="17"/>
    </row>
    <row r="3276" spans="1:9" ht="25.5" customHeight="1" x14ac:dyDescent="0.2">
      <c r="A3276" s="27">
        <v>3274</v>
      </c>
      <c r="B3276" s="29" t="s">
        <v>1384</v>
      </c>
      <c r="C3276" s="29" t="str">
        <f ca="1">IFERROR(__xludf.DUMMYFUNCTION("GOOGLETRANSLATE(C4386,""en"",""hr"")"),"Orah")</f>
        <v>Orah</v>
      </c>
      <c r="D3276" s="28" t="s">
        <v>11</v>
      </c>
      <c r="E3276" s="29">
        <v>1</v>
      </c>
      <c r="F3276" s="17"/>
    </row>
    <row r="3277" spans="1:9" ht="25.5" customHeight="1" x14ac:dyDescent="0.2">
      <c r="A3277" s="27">
        <v>3275</v>
      </c>
      <c r="B3277" s="29" t="s">
        <v>377</v>
      </c>
      <c r="C3277" s="29" t="str">
        <f ca="1">IFERROR(__xludf.DUMMYFUNCTION("GOOGLETRANSLATE(C853,""en"",""hr"")"),"Orah")</f>
        <v>Orah</v>
      </c>
      <c r="D3277" s="28" t="s">
        <v>11</v>
      </c>
      <c r="E3277" s="29">
        <v>1</v>
      </c>
      <c r="F3277" s="17"/>
      <c r="I3277" s="4" t="b">
        <f>INT(F3275*100)=(F3275*100)</f>
        <v>1</v>
      </c>
    </row>
    <row r="3278" spans="1:9" ht="25.5" customHeight="1" x14ac:dyDescent="0.2">
      <c r="A3278" s="27">
        <v>3276</v>
      </c>
      <c r="B3278" s="29" t="s">
        <v>670</v>
      </c>
      <c r="C3278" s="29" t="str">
        <f ca="1">IFERROR(__xludf.DUMMYFUNCTION("GOOGLETRANSLATE(C2105,""en"",""hr"")"),"Orah")</f>
        <v>Orah</v>
      </c>
      <c r="D3278" s="28" t="s">
        <v>11</v>
      </c>
      <c r="E3278" s="29">
        <v>1</v>
      </c>
      <c r="F3278" s="17"/>
    </row>
    <row r="3279" spans="1:9" ht="25.5" customHeight="1" x14ac:dyDescent="0.2">
      <c r="A3279" s="27">
        <v>3277</v>
      </c>
      <c r="B3279" s="29" t="s">
        <v>681</v>
      </c>
      <c r="C3279" s="29" t="str">
        <f ca="1">IFERROR(__xludf.DUMMYFUNCTION("GOOGLETRANSLATE(C2124,""en"",""hr"")"),"Sigurnosna matica")</f>
        <v>Sigurnosna matica</v>
      </c>
      <c r="D3279" s="28" t="s">
        <v>11</v>
      </c>
      <c r="E3279" s="29">
        <v>1</v>
      </c>
      <c r="F3279" s="17"/>
    </row>
    <row r="3280" spans="1:9" ht="25.5" customHeight="1" x14ac:dyDescent="0.2">
      <c r="A3280" s="27">
        <v>3278</v>
      </c>
      <c r="B3280" s="29" t="s">
        <v>1462</v>
      </c>
      <c r="C3280" s="29" t="str">
        <f ca="1">IFERROR(__xludf.DUMMYFUNCTION("GOOGLETRANSLATE(C4883,""en"",""hr"")"),"Orah")</f>
        <v>Orah</v>
      </c>
      <c r="D3280" s="28" t="s">
        <v>11</v>
      </c>
      <c r="E3280" s="29">
        <v>1</v>
      </c>
      <c r="F3280" s="17"/>
      <c r="I3280" s="4" t="b">
        <f>INT(F3278*100)=(F3278*100)</f>
        <v>1</v>
      </c>
    </row>
    <row r="3281" spans="1:9" ht="25.5" customHeight="1" x14ac:dyDescent="0.2">
      <c r="A3281" s="27">
        <v>3279</v>
      </c>
      <c r="B3281" s="29" t="s">
        <v>176</v>
      </c>
      <c r="C3281" s="29" t="str">
        <f ca="1">IFERROR(__xludf.DUMMYFUNCTION("GOOGLETRANSLATE(C343,""en"",""hr"")"),"Orah")</f>
        <v>Orah</v>
      </c>
      <c r="D3281" s="28" t="s">
        <v>11</v>
      </c>
      <c r="E3281" s="29">
        <v>1</v>
      </c>
      <c r="F3281" s="17"/>
    </row>
    <row r="3282" spans="1:9" ht="25.5" customHeight="1" x14ac:dyDescent="0.2">
      <c r="A3282" s="27">
        <v>3280</v>
      </c>
      <c r="B3282" s="29" t="s">
        <v>904</v>
      </c>
      <c r="C3282" s="29" t="str">
        <f ca="1">IFERROR(__xludf.DUMMYFUNCTION("GOOGLETRANSLATE(C2678,""en"",""hr"")"),"Orah")</f>
        <v>Orah</v>
      </c>
      <c r="D3282" s="28" t="s">
        <v>11</v>
      </c>
      <c r="E3282" s="29">
        <v>1</v>
      </c>
      <c r="F3282" s="17"/>
    </row>
    <row r="3283" spans="1:9" ht="25.5" customHeight="1" x14ac:dyDescent="0.2">
      <c r="A3283" s="27">
        <v>3281</v>
      </c>
      <c r="B3283" s="29" t="s">
        <v>993</v>
      </c>
      <c r="C3283" s="29" t="str">
        <f ca="1">IFERROR(__xludf.DUMMYFUNCTION("GOOGLETRANSLATE(C3174,""en"",""hr"")"),"Orah")</f>
        <v>Orah</v>
      </c>
      <c r="D3283" s="28" t="s">
        <v>11</v>
      </c>
      <c r="E3283" s="29">
        <v>1</v>
      </c>
      <c r="F3283" s="17"/>
    </row>
    <row r="3284" spans="1:9" ht="25.5" customHeight="1" x14ac:dyDescent="0.2">
      <c r="A3284" s="27">
        <v>3282</v>
      </c>
      <c r="B3284" s="29" t="s">
        <v>258</v>
      </c>
      <c r="C3284" s="29" t="str">
        <f ca="1">IFERROR(__xludf.DUMMYFUNCTION("GOOGLETRANSLATE(C558,""en"",""hr"")"),"Orah")</f>
        <v>Orah</v>
      </c>
      <c r="D3284" s="28" t="s">
        <v>11</v>
      </c>
      <c r="E3284" s="29">
        <v>1</v>
      </c>
      <c r="F3284" s="17"/>
      <c r="I3284" s="4" t="b">
        <f>INT(F3282*100)=(F3282*100)</f>
        <v>1</v>
      </c>
    </row>
    <row r="3285" spans="1:9" ht="25.5" customHeight="1" x14ac:dyDescent="0.2">
      <c r="A3285" s="27">
        <v>3283</v>
      </c>
      <c r="B3285" s="29" t="s">
        <v>665</v>
      </c>
      <c r="C3285" s="29" t="str">
        <f ca="1">IFERROR(__xludf.DUMMYFUNCTION("GOOGLETRANSLATE(C2090,""en"",""hr"")"),"Orah")</f>
        <v>Orah</v>
      </c>
      <c r="D3285" s="28" t="s">
        <v>11</v>
      </c>
      <c r="E3285" s="29">
        <v>1</v>
      </c>
      <c r="F3285" s="17"/>
    </row>
    <row r="3286" spans="1:9" ht="25.5" customHeight="1" x14ac:dyDescent="0.2">
      <c r="A3286" s="27">
        <v>3284</v>
      </c>
      <c r="B3286" s="29" t="s">
        <v>616</v>
      </c>
      <c r="C3286" s="29" t="str">
        <f ca="1">IFERROR(__xludf.DUMMYFUNCTION("GOOGLETRANSLATE(C1910,""en"",""hr"")"),"Orah")</f>
        <v>Orah</v>
      </c>
      <c r="D3286" s="28" t="s">
        <v>11</v>
      </c>
      <c r="E3286" s="29">
        <v>1</v>
      </c>
      <c r="F3286" s="17"/>
    </row>
    <row r="3287" spans="1:9" ht="25.5" customHeight="1" x14ac:dyDescent="0.2">
      <c r="A3287" s="27">
        <v>3285</v>
      </c>
      <c r="B3287" s="29" t="s">
        <v>1499</v>
      </c>
      <c r="C3287" s="29" t="str">
        <f ca="1">IFERROR(__xludf.DUMMYFUNCTION("GOOGLETRANSLATE(C5046,""en"",""hr"")"),"Orah")</f>
        <v>Orah</v>
      </c>
      <c r="D3287" s="28" t="s">
        <v>11</v>
      </c>
      <c r="E3287" s="29">
        <v>1</v>
      </c>
      <c r="F3287" s="17"/>
    </row>
    <row r="3288" spans="1:9" ht="25.5" customHeight="1" x14ac:dyDescent="0.2">
      <c r="A3288" s="27">
        <v>3286</v>
      </c>
      <c r="B3288" s="29" t="s">
        <v>961</v>
      </c>
      <c r="C3288" s="29" t="str">
        <f ca="1">IFERROR(__xludf.DUMMYFUNCTION("GOOGLETRANSLATE(C3054,""en"",""hr"")"),"Samosigurnosna matica")</f>
        <v>Samosigurnosna matica</v>
      </c>
      <c r="D3288" s="28" t="s">
        <v>11</v>
      </c>
      <c r="E3288" s="29">
        <v>1</v>
      </c>
      <c r="F3288" s="17"/>
    </row>
    <row r="3289" spans="1:9" ht="25.5" customHeight="1" x14ac:dyDescent="0.2">
      <c r="A3289" s="27">
        <v>3287</v>
      </c>
      <c r="B3289" s="29" t="s">
        <v>298</v>
      </c>
      <c r="C3289" s="29" t="str">
        <f ca="1">IFERROR(__xludf.DUMMYFUNCTION("GOOGLETRANSLATE(C665,""en"",""hr"")"),"Samosigurnosna matica")</f>
        <v>Samosigurnosna matica</v>
      </c>
      <c r="D3289" s="28" t="s">
        <v>11</v>
      </c>
      <c r="E3289" s="29">
        <v>1</v>
      </c>
      <c r="F3289" s="17"/>
    </row>
    <row r="3290" spans="1:9" ht="25.5" customHeight="1" x14ac:dyDescent="0.2">
      <c r="A3290" s="27">
        <v>3288</v>
      </c>
      <c r="B3290" s="29" t="s">
        <v>594</v>
      </c>
      <c r="C3290" s="29" t="str">
        <f ca="1">IFERROR(__xludf.DUMMYFUNCTION("GOOGLETRANSLATE(C1727,""en"",""hr"")"),"Samosigurnosna matica")</f>
        <v>Samosigurnosna matica</v>
      </c>
      <c r="D3290" s="28" t="s">
        <v>11</v>
      </c>
      <c r="E3290" s="29">
        <v>1</v>
      </c>
      <c r="F3290" s="17"/>
    </row>
    <row r="3291" spans="1:9" ht="25.5" customHeight="1" x14ac:dyDescent="0.2">
      <c r="A3291" s="27">
        <v>3289</v>
      </c>
      <c r="B3291" s="29" t="s">
        <v>154</v>
      </c>
      <c r="C3291" s="29" t="str">
        <f ca="1">IFERROR(__xludf.DUMMYFUNCTION("GOOGLETRANSLATE(C298,""en"",""hr"")"),"Orah")</f>
        <v>Orah</v>
      </c>
      <c r="D3291" s="28" t="s">
        <v>11</v>
      </c>
      <c r="E3291" s="29">
        <v>1</v>
      </c>
      <c r="F3291" s="17"/>
    </row>
    <row r="3292" spans="1:9" ht="25.5" customHeight="1" x14ac:dyDescent="0.2">
      <c r="A3292" s="27">
        <v>3290</v>
      </c>
      <c r="B3292" s="29" t="s">
        <v>156</v>
      </c>
      <c r="C3292" s="29" t="str">
        <f ca="1">IFERROR(__xludf.DUMMYFUNCTION("GOOGLETRANSLATE(C303,""en"",""hr"")"),"Zaustavna matica")</f>
        <v>Zaustavna matica</v>
      </c>
      <c r="D3292" s="28" t="s">
        <v>11</v>
      </c>
      <c r="E3292" s="29">
        <v>1</v>
      </c>
      <c r="F3292" s="17"/>
    </row>
    <row r="3293" spans="1:9" ht="25.5" customHeight="1" x14ac:dyDescent="0.2">
      <c r="A3293" s="27">
        <v>3291</v>
      </c>
      <c r="B3293" s="29" t="s">
        <v>206</v>
      </c>
      <c r="C3293" s="29" t="str">
        <f ca="1">IFERROR(__xludf.DUMMYFUNCTION("GOOGLETRANSLATE(C441,""en"",""hr"")"),"Zaustavna matica")</f>
        <v>Zaustavna matica</v>
      </c>
      <c r="D3293" s="28" t="s">
        <v>11</v>
      </c>
      <c r="E3293" s="29">
        <v>1</v>
      </c>
      <c r="F3293" s="17"/>
    </row>
    <row r="3294" spans="1:9" ht="25.5" customHeight="1" x14ac:dyDescent="0.2">
      <c r="A3294" s="27">
        <v>3292</v>
      </c>
      <c r="B3294" s="29" t="s">
        <v>380</v>
      </c>
      <c r="C3294" s="29" t="str">
        <f ca="1">IFERROR(__xludf.DUMMYFUNCTION("GOOGLETRANSLATE(C857,""en"",""hr"")"),"Samosigurnosna matica")</f>
        <v>Samosigurnosna matica</v>
      </c>
      <c r="D3294" s="28" t="s">
        <v>11</v>
      </c>
      <c r="E3294" s="29">
        <v>1</v>
      </c>
      <c r="F3294" s="17"/>
    </row>
    <row r="3295" spans="1:9" ht="25.5" customHeight="1" x14ac:dyDescent="0.2">
      <c r="A3295" s="27">
        <v>3293</v>
      </c>
      <c r="B3295" s="29" t="s">
        <v>234</v>
      </c>
      <c r="C3295" s="29" t="str">
        <f ca="1">IFERROR(__xludf.DUMMYFUNCTION("GOOGLETRANSLATE(C487,""en"",""hr"")"),"Orah")</f>
        <v>Orah</v>
      </c>
      <c r="D3295" s="28" t="s">
        <v>11</v>
      </c>
      <c r="E3295" s="29">
        <v>1</v>
      </c>
      <c r="F3295" s="17"/>
    </row>
    <row r="3296" spans="1:9" ht="25.5" customHeight="1" x14ac:dyDescent="0.2">
      <c r="A3296" s="27">
        <v>3294</v>
      </c>
      <c r="B3296" s="29" t="s">
        <v>211</v>
      </c>
      <c r="C3296" s="29" t="str">
        <f ca="1">IFERROR(__xludf.DUMMYFUNCTION("GOOGLETRANSLATE(C447,""en"",""hr"")"),"Samosigurnosna matica")</f>
        <v>Samosigurnosna matica</v>
      </c>
      <c r="D3296" s="28" t="s">
        <v>11</v>
      </c>
      <c r="E3296" s="29">
        <v>1</v>
      </c>
      <c r="F3296" s="17"/>
    </row>
    <row r="3297" spans="1:9" ht="25.5" customHeight="1" x14ac:dyDescent="0.2">
      <c r="A3297" s="27">
        <v>3295</v>
      </c>
      <c r="B3297" s="29" t="s">
        <v>730</v>
      </c>
      <c r="C3297" s="29" t="str">
        <f ca="1">IFERROR(__xludf.DUMMYFUNCTION("GOOGLETRANSLATE(C2289,""en"",""hr"")"),"Samosigurnosna matica")</f>
        <v>Samosigurnosna matica</v>
      </c>
      <c r="D3297" s="28" t="s">
        <v>11</v>
      </c>
      <c r="E3297" s="29">
        <v>1</v>
      </c>
      <c r="F3297" s="17"/>
    </row>
    <row r="3298" spans="1:9" ht="25.5" customHeight="1" x14ac:dyDescent="0.2">
      <c r="A3298" s="27">
        <v>3296</v>
      </c>
      <c r="B3298" s="29" t="s">
        <v>312</v>
      </c>
      <c r="C3298" s="29" t="str">
        <f ca="1">IFERROR(__xludf.DUMMYFUNCTION("GOOGLETRANSLATE(C691,""en"",""hr"")"),"Šesterokutna matica SSI")</f>
        <v>Šesterokutna matica SSI</v>
      </c>
      <c r="D3298" s="28" t="s">
        <v>11</v>
      </c>
      <c r="E3298" s="29">
        <v>1</v>
      </c>
      <c r="F3298" s="17"/>
    </row>
    <row r="3299" spans="1:9" ht="25.5" customHeight="1" x14ac:dyDescent="0.2">
      <c r="A3299" s="27">
        <v>3297</v>
      </c>
      <c r="B3299" s="29" t="s">
        <v>722</v>
      </c>
      <c r="C3299" s="29" t="str">
        <f ca="1">IFERROR(__xludf.DUMMYFUNCTION("GOOGLETRANSLATE(C2278,""en"",""hr"")"),"Samosigurnosna matica")</f>
        <v>Samosigurnosna matica</v>
      </c>
      <c r="D3299" s="28" t="s">
        <v>11</v>
      </c>
      <c r="E3299" s="29">
        <v>1</v>
      </c>
      <c r="F3299" s="17"/>
    </row>
    <row r="3300" spans="1:9" ht="25.5" customHeight="1" x14ac:dyDescent="0.2">
      <c r="A3300" s="27">
        <v>3298</v>
      </c>
      <c r="B3300" s="29" t="s">
        <v>721</v>
      </c>
      <c r="C3300" s="29" t="str">
        <f ca="1">IFERROR(__xludf.DUMMYFUNCTION("GOOGLETRANSLATE(C2277,""en"",""hr"")"),"Zaustavna matica")</f>
        <v>Zaustavna matica</v>
      </c>
      <c r="D3300" s="28" t="s">
        <v>11</v>
      </c>
      <c r="E3300" s="29">
        <v>1</v>
      </c>
      <c r="F3300" s="17"/>
    </row>
    <row r="3301" spans="1:9" ht="25.5" customHeight="1" x14ac:dyDescent="0.2">
      <c r="A3301" s="27">
        <v>3299</v>
      </c>
      <c r="B3301" s="29" t="s">
        <v>219</v>
      </c>
      <c r="C3301" s="29" t="str">
        <f ca="1">IFERROR(__xludf.DUMMYFUNCTION("GOOGLETRANSLATE(C463,""en"",""hr"")"),"Orah")</f>
        <v>Orah</v>
      </c>
      <c r="D3301" s="28" t="s">
        <v>11</v>
      </c>
      <c r="E3301" s="29">
        <v>1</v>
      </c>
      <c r="F3301" s="17"/>
    </row>
    <row r="3302" spans="1:9" ht="25.5" customHeight="1" x14ac:dyDescent="0.2">
      <c r="A3302" s="27">
        <v>3300</v>
      </c>
      <c r="B3302" s="29" t="s">
        <v>1058</v>
      </c>
      <c r="C3302" s="29" t="str">
        <f ca="1">IFERROR(__xludf.DUMMYFUNCTION("GOOGLETRANSLATE(C3451,""en"",""hr"")"),"Samosigurnosna matica")</f>
        <v>Samosigurnosna matica</v>
      </c>
      <c r="D3302" s="28" t="s">
        <v>11</v>
      </c>
      <c r="E3302" s="29">
        <v>1</v>
      </c>
      <c r="F3302" s="17"/>
      <c r="I3302" s="4" t="b">
        <f>INT(F3300*100)=(F3300*100)</f>
        <v>1</v>
      </c>
    </row>
    <row r="3303" spans="1:9" ht="25.5" customHeight="1" x14ac:dyDescent="0.2">
      <c r="A3303" s="27">
        <v>3301</v>
      </c>
      <c r="B3303" s="29" t="s">
        <v>984</v>
      </c>
      <c r="C3303" s="29" t="str">
        <f ca="1">IFERROR(__xludf.DUMMYFUNCTION("GOOGLETRANSLATE(C3139,""en"",""hr"")"),"Samosigurnosna matica")</f>
        <v>Samosigurnosna matica</v>
      </c>
      <c r="D3303" s="28" t="s">
        <v>11</v>
      </c>
      <c r="E3303" s="29">
        <v>1</v>
      </c>
      <c r="F3303" s="17"/>
    </row>
    <row r="3304" spans="1:9" ht="25.5" customHeight="1" x14ac:dyDescent="0.2">
      <c r="A3304" s="27">
        <v>3302</v>
      </c>
      <c r="B3304" s="29" t="s">
        <v>343</v>
      </c>
      <c r="C3304" s="29" t="str">
        <f ca="1">IFERROR(__xludf.DUMMYFUNCTION("GOOGLETRANSLATE(C768,""en"",""hr"")"),"Samosigurnosna matica")</f>
        <v>Samosigurnosna matica</v>
      </c>
      <c r="D3304" s="28" t="s">
        <v>11</v>
      </c>
      <c r="E3304" s="29">
        <v>1</v>
      </c>
      <c r="F3304" s="17"/>
    </row>
    <row r="3305" spans="1:9" ht="25.5" customHeight="1" x14ac:dyDescent="0.2">
      <c r="A3305" s="27">
        <v>3303</v>
      </c>
      <c r="B3305" s="29" t="s">
        <v>493</v>
      </c>
      <c r="C3305" s="29" t="str">
        <f ca="1">IFERROR(__xludf.DUMMYFUNCTION("GOOGLETRANSLATE(C1204,""en"",""hr"")"),"Samosigurnosna matica")</f>
        <v>Samosigurnosna matica</v>
      </c>
      <c r="D3305" s="28" t="s">
        <v>11</v>
      </c>
      <c r="E3305" s="29">
        <v>1</v>
      </c>
      <c r="F3305" s="17"/>
      <c r="I3305" s="4" t="b">
        <f>INT(F3303*100)=(F3303*100)</f>
        <v>1</v>
      </c>
    </row>
    <row r="3306" spans="1:9" ht="25.5" customHeight="1" x14ac:dyDescent="0.2">
      <c r="A3306" s="27">
        <v>3304</v>
      </c>
      <c r="B3306" s="29" t="s">
        <v>1019</v>
      </c>
      <c r="C3306" s="29" t="str">
        <f ca="1">IFERROR(__xludf.DUMMYFUNCTION("GOOGLETRANSLATE(C3292,""en"",""hr"")"),"Samosigurnosna matica")</f>
        <v>Samosigurnosna matica</v>
      </c>
      <c r="D3306" s="28" t="s">
        <v>11</v>
      </c>
      <c r="E3306" s="29">
        <v>1</v>
      </c>
      <c r="F3306" s="17"/>
    </row>
    <row r="3307" spans="1:9" ht="25.5" customHeight="1" x14ac:dyDescent="0.2">
      <c r="A3307" s="27">
        <v>3305</v>
      </c>
      <c r="B3307" s="29" t="s">
        <v>1016</v>
      </c>
      <c r="C3307" s="29" t="str">
        <f ca="1">IFERROR(__xludf.DUMMYFUNCTION("GOOGLETRANSLATE(C3287,""en"",""hr"")"),"Samosigurnosna matica")</f>
        <v>Samosigurnosna matica</v>
      </c>
      <c r="D3307" s="28" t="s">
        <v>11</v>
      </c>
      <c r="E3307" s="29">
        <v>1</v>
      </c>
      <c r="F3307" s="17"/>
    </row>
    <row r="3308" spans="1:9" ht="25.5" customHeight="1" x14ac:dyDescent="0.2">
      <c r="A3308" s="27">
        <v>3306</v>
      </c>
      <c r="B3308" s="29" t="s">
        <v>1917</v>
      </c>
      <c r="C3308" s="29" t="str">
        <f ca="1">IFERROR(__xludf.DUMMYFUNCTION("GOOGLETRANSLATE(C6677,""en"",""hr"")"),"Samosigurnosna matica")</f>
        <v>Samosigurnosna matica</v>
      </c>
      <c r="D3308" s="28" t="s">
        <v>11</v>
      </c>
      <c r="E3308" s="29">
        <v>1</v>
      </c>
      <c r="F3308" s="17"/>
    </row>
    <row r="3309" spans="1:9" ht="25.5" customHeight="1" x14ac:dyDescent="0.2">
      <c r="A3309" s="27">
        <v>3307</v>
      </c>
      <c r="B3309" s="29" t="s">
        <v>1628</v>
      </c>
      <c r="C3309" s="29" t="str">
        <f ca="1">IFERROR(__xludf.DUMMYFUNCTION("GOOGLETRANSLATE(C5481,""en"",""hr"")"),"Samosigurnosna matica")</f>
        <v>Samosigurnosna matica</v>
      </c>
      <c r="D3309" s="28" t="s">
        <v>11</v>
      </c>
      <c r="E3309" s="29">
        <v>1</v>
      </c>
      <c r="F3309" s="17"/>
      <c r="I3309" s="4" t="b">
        <f>INT(F3307*100)=(F3307*100)</f>
        <v>1</v>
      </c>
    </row>
    <row r="3310" spans="1:9" ht="25.5" customHeight="1" x14ac:dyDescent="0.2">
      <c r="A3310" s="27">
        <v>3308</v>
      </c>
      <c r="B3310" s="29" t="s">
        <v>233</v>
      </c>
      <c r="C3310" s="29" t="str">
        <f ca="1">IFERROR(__xludf.DUMMYFUNCTION("GOOGLETRANSLATE(C485,""en"",""hr"")"),"Šesterokutna matica SSI")</f>
        <v>Šesterokutna matica SSI</v>
      </c>
      <c r="D3310" s="28" t="s">
        <v>11</v>
      </c>
      <c r="E3310" s="29">
        <v>1</v>
      </c>
      <c r="F3310" s="17"/>
    </row>
    <row r="3311" spans="1:9" ht="25.5" customHeight="1" x14ac:dyDescent="0.2">
      <c r="A3311" s="27">
        <v>3309</v>
      </c>
      <c r="B3311" s="29" t="s">
        <v>1017</v>
      </c>
      <c r="C3311" s="29" t="str">
        <f ca="1">IFERROR(__xludf.DUMMYFUNCTION("GOOGLETRANSLATE(C3290,""en"",""hr"")"),"Šesterokutna matica SSI")</f>
        <v>Šesterokutna matica SSI</v>
      </c>
      <c r="D3311" s="28" t="s">
        <v>11</v>
      </c>
      <c r="E3311" s="29">
        <v>1</v>
      </c>
      <c r="F3311" s="17"/>
    </row>
    <row r="3312" spans="1:9" ht="25.5" customHeight="1" x14ac:dyDescent="0.2">
      <c r="A3312" s="27">
        <v>3310</v>
      </c>
      <c r="B3312" s="29" t="s">
        <v>217</v>
      </c>
      <c r="C3312" s="29" t="str">
        <f ca="1">IFERROR(__xludf.DUMMYFUNCTION("GOOGLETRANSLATE(C458,""en"",""hr"")"),"Orah")</f>
        <v>Orah</v>
      </c>
      <c r="D3312" s="28" t="s">
        <v>11</v>
      </c>
      <c r="E3312" s="29">
        <v>1</v>
      </c>
      <c r="F3312" s="17"/>
    </row>
    <row r="3313" spans="1:9" ht="25.5" customHeight="1" x14ac:dyDescent="0.2">
      <c r="A3313" s="27">
        <v>3311</v>
      </c>
      <c r="B3313" s="29" t="s">
        <v>408</v>
      </c>
      <c r="C3313" s="29" t="str">
        <f ca="1">IFERROR(__xludf.DUMMYFUNCTION("GOOGLETRANSLATE(C953,""en"",""hr"")"),"Orah")</f>
        <v>Orah</v>
      </c>
      <c r="D3313" s="28" t="s">
        <v>11</v>
      </c>
      <c r="E3313" s="29">
        <v>1</v>
      </c>
      <c r="F3313" s="17"/>
    </row>
    <row r="3314" spans="1:9" ht="25.5" customHeight="1" x14ac:dyDescent="0.2">
      <c r="A3314" s="27">
        <v>3312</v>
      </c>
      <c r="B3314" s="29" t="s">
        <v>881</v>
      </c>
      <c r="C3314" s="29" t="str">
        <f ca="1">IFERROR(__xludf.DUMMYFUNCTION("GOOGLETRANSLATE(C2577,""en"",""hr"")"),"Samosigurnosna matica")</f>
        <v>Samosigurnosna matica</v>
      </c>
      <c r="D3314" s="28" t="s">
        <v>11</v>
      </c>
      <c r="E3314" s="29">
        <v>1</v>
      </c>
      <c r="F3314" s="17"/>
    </row>
    <row r="3315" spans="1:9" ht="25.5" customHeight="1" x14ac:dyDescent="0.2">
      <c r="A3315" s="27">
        <v>3313</v>
      </c>
      <c r="B3315" s="29" t="s">
        <v>867</v>
      </c>
      <c r="C3315" s="29" t="str">
        <f ca="1">IFERROR(__xludf.DUMMYFUNCTION("GOOGLETRANSLATE(C2545,""en"",""hr"")"),"Samosigurnosna matica")</f>
        <v>Samosigurnosna matica</v>
      </c>
      <c r="D3315" s="28" t="s">
        <v>11</v>
      </c>
      <c r="E3315" s="29">
        <v>1</v>
      </c>
      <c r="F3315" s="17"/>
    </row>
    <row r="3316" spans="1:9" ht="25.5" customHeight="1" x14ac:dyDescent="0.2">
      <c r="A3316" s="27">
        <v>3314</v>
      </c>
      <c r="B3316" s="29" t="s">
        <v>952</v>
      </c>
      <c r="C3316" s="29" t="str">
        <f ca="1">IFERROR(__xludf.DUMMYFUNCTION("GOOGLETRANSLATE(C3026,""en"",""hr"")"),"Samosigurnosna matica")</f>
        <v>Samosigurnosna matica</v>
      </c>
      <c r="D3316" s="28" t="s">
        <v>11</v>
      </c>
      <c r="E3316" s="29">
        <v>1</v>
      </c>
      <c r="F3316" s="17"/>
    </row>
    <row r="3317" spans="1:9" ht="25.5" customHeight="1" x14ac:dyDescent="0.2">
      <c r="A3317" s="27">
        <v>3315</v>
      </c>
      <c r="B3317" s="29" t="s">
        <v>792</v>
      </c>
      <c r="C3317" s="29" t="str">
        <f ca="1">IFERROR(__xludf.DUMMYFUNCTION("GOOGLETRANSLATE(C2422,""en"",""hr"")"),"Samosigurnosna matica")</f>
        <v>Samosigurnosna matica</v>
      </c>
      <c r="D3317" s="28" t="s">
        <v>11</v>
      </c>
      <c r="E3317" s="29">
        <v>1</v>
      </c>
      <c r="F3317" s="17"/>
    </row>
    <row r="3318" spans="1:9" ht="25.5" customHeight="1" x14ac:dyDescent="0.2">
      <c r="A3318" s="27">
        <v>3316</v>
      </c>
      <c r="B3318" s="29" t="s">
        <v>876</v>
      </c>
      <c r="C3318" s="29" t="str">
        <f ca="1">IFERROR(__xludf.DUMMYFUNCTION("GOOGLETRANSLATE(C2569,""en"",""hr"")"),"Samosigurnosna matica")</f>
        <v>Samosigurnosna matica</v>
      </c>
      <c r="D3318" s="28" t="s">
        <v>11</v>
      </c>
      <c r="E3318" s="29">
        <v>1</v>
      </c>
      <c r="F3318" s="17"/>
    </row>
    <row r="3319" spans="1:9" ht="25.5" customHeight="1" x14ac:dyDescent="0.2">
      <c r="A3319" s="27">
        <v>3317</v>
      </c>
      <c r="B3319" s="29" t="s">
        <v>1362</v>
      </c>
      <c r="C3319" s="29" t="str">
        <f ca="1">IFERROR(__xludf.DUMMYFUNCTION("GOOGLETRANSLATE(C4321,""en"",""hr"")"),"Slijepa zakivna matica")</f>
        <v>Slijepa zakivna matica</v>
      </c>
      <c r="D3319" s="28" t="s">
        <v>11</v>
      </c>
      <c r="E3319" s="29">
        <v>1</v>
      </c>
      <c r="F3319" s="17"/>
    </row>
    <row r="3320" spans="1:9" ht="25.5" customHeight="1" x14ac:dyDescent="0.2">
      <c r="A3320" s="27">
        <v>3318</v>
      </c>
      <c r="B3320" s="29" t="s">
        <v>227</v>
      </c>
      <c r="C3320" s="29" t="str">
        <f ca="1">IFERROR(__xludf.DUMMYFUNCTION("GOOGLETRANSLATE(C477,""en"",""hr"")"),"Dvorski orah")</f>
        <v>Dvorski orah</v>
      </c>
      <c r="D3320" s="28" t="s">
        <v>11</v>
      </c>
      <c r="E3320" s="29">
        <v>1</v>
      </c>
      <c r="F3320" s="17"/>
    </row>
    <row r="3321" spans="1:9" ht="25.5" customHeight="1" x14ac:dyDescent="0.2">
      <c r="A3321" s="27">
        <v>3319</v>
      </c>
      <c r="B3321" s="29" t="s">
        <v>632</v>
      </c>
      <c r="C3321" s="29" t="str">
        <f ca="1">IFERROR(__xludf.DUMMYFUNCTION("GOOGLETRANSLATE(C1945,""en"",""hr"")"),"Sigurnosna matica")</f>
        <v>Sigurnosna matica</v>
      </c>
      <c r="D3321" s="28" t="s">
        <v>11</v>
      </c>
      <c r="E3321" s="29">
        <v>1</v>
      </c>
      <c r="F3321" s="17"/>
    </row>
    <row r="3322" spans="1:9" ht="25.5" customHeight="1" x14ac:dyDescent="0.2">
      <c r="A3322" s="27">
        <v>3320</v>
      </c>
      <c r="B3322" s="29" t="s">
        <v>635</v>
      </c>
      <c r="C3322" s="29" t="str">
        <f ca="1">IFERROR(__xludf.DUMMYFUNCTION("GOOGLETRANSLATE(C1951,""en"",""hr"")"),"Sigurnosna matica")</f>
        <v>Sigurnosna matica</v>
      </c>
      <c r="D3322" s="28" t="s">
        <v>11</v>
      </c>
      <c r="E3322" s="29">
        <v>1</v>
      </c>
      <c r="F3322" s="17"/>
    </row>
    <row r="3323" spans="1:9" ht="25.5" customHeight="1" x14ac:dyDescent="0.2">
      <c r="A3323" s="27">
        <v>3321</v>
      </c>
      <c r="B3323" s="29" t="s">
        <v>1349</v>
      </c>
      <c r="C3323" s="29" t="str">
        <f ca="1">IFERROR(__xludf.DUMMYFUNCTION("GOOGLETRANSLATE(C4278,""en"",""hr"")"),"Poklopna matica")</f>
        <v>Poklopna matica</v>
      </c>
      <c r="D3323" s="28" t="s">
        <v>11</v>
      </c>
      <c r="E3323" s="29">
        <v>1</v>
      </c>
      <c r="F3323" s="17"/>
    </row>
    <row r="3324" spans="1:9" ht="25.5" customHeight="1" x14ac:dyDescent="0.2">
      <c r="A3324" s="27">
        <v>3322</v>
      </c>
      <c r="B3324" s="29" t="s">
        <v>1383</v>
      </c>
      <c r="C3324" s="29" t="str">
        <f ca="1">IFERROR(__xludf.DUMMYFUNCTION("GOOGLETRANSLATE(C4380,""en"",""hr"")"),"Krilati orah")</f>
        <v>Krilati orah</v>
      </c>
      <c r="D3324" s="28" t="s">
        <v>11</v>
      </c>
      <c r="E3324" s="29">
        <v>1</v>
      </c>
      <c r="F3324" s="17"/>
    </row>
    <row r="3325" spans="1:9" ht="25.5" customHeight="1" x14ac:dyDescent="0.2">
      <c r="A3325" s="27">
        <v>3323</v>
      </c>
      <c r="B3325" s="29" t="s">
        <v>707</v>
      </c>
      <c r="C3325" s="29" t="str">
        <f ca="1">IFERROR(__xludf.DUMMYFUNCTION("GOOGLETRANSLATE(C2236,""en"",""hr"")"),"Perilica")</f>
        <v>Perilica</v>
      </c>
      <c r="D3325" s="28" t="s">
        <v>11</v>
      </c>
      <c r="E3325" s="29">
        <v>1</v>
      </c>
      <c r="F3325" s="17"/>
    </row>
    <row r="3326" spans="1:9" ht="25.5" customHeight="1" x14ac:dyDescent="0.2">
      <c r="A3326" s="27">
        <v>3324</v>
      </c>
      <c r="B3326" s="29" t="s">
        <v>218</v>
      </c>
      <c r="C3326" s="29" t="str">
        <f ca="1">IFERROR(__xludf.DUMMYFUNCTION("GOOGLETRANSLATE(C460,""en"",""hr"")"),"Perilica")</f>
        <v>Perilica</v>
      </c>
      <c r="D3326" s="28" t="s">
        <v>11</v>
      </c>
      <c r="E3326" s="29">
        <v>1</v>
      </c>
      <c r="F3326" s="17"/>
    </row>
    <row r="3327" spans="1:9" ht="25.5" customHeight="1" x14ac:dyDescent="0.2">
      <c r="A3327" s="27">
        <v>3325</v>
      </c>
      <c r="B3327" s="29" t="s">
        <v>260</v>
      </c>
      <c r="C3327" s="29" t="str">
        <f ca="1">IFERROR(__xludf.DUMMYFUNCTION("GOOGLETRANSLATE(C565,""en"",""hr"")"),"Perilica")</f>
        <v>Perilica</v>
      </c>
      <c r="D3327" s="28" t="s">
        <v>11</v>
      </c>
      <c r="E3327" s="29">
        <v>1</v>
      </c>
      <c r="F3327" s="17"/>
    </row>
    <row r="3328" spans="1:9" ht="25.5" customHeight="1" x14ac:dyDescent="0.2">
      <c r="A3328" s="27">
        <v>3326</v>
      </c>
      <c r="B3328" s="29" t="s">
        <v>193</v>
      </c>
      <c r="C3328" s="29" t="str">
        <f ca="1">IFERROR(__xludf.DUMMYFUNCTION("GOOGLETRANSLATE(C413,""en"",""hr"")"),"Perilica")</f>
        <v>Perilica</v>
      </c>
      <c r="D3328" s="28" t="s">
        <v>11</v>
      </c>
      <c r="E3328" s="29">
        <v>1</v>
      </c>
      <c r="F3328" s="17"/>
      <c r="I3328" s="4" t="b">
        <f>INT(F3326*100)=(F3326*100)</f>
        <v>1</v>
      </c>
    </row>
    <row r="3329" spans="1:9" ht="25.5" customHeight="1" x14ac:dyDescent="0.2">
      <c r="A3329" s="27">
        <v>3327</v>
      </c>
      <c r="B3329" s="29" t="s">
        <v>1276</v>
      </c>
      <c r="C3329" s="29" t="str">
        <f ca="1">IFERROR(__xludf.DUMMYFUNCTION("GOOGLETRANSLATE(C4009,""en"",""hr"")"),"Perilica")</f>
        <v>Perilica</v>
      </c>
      <c r="D3329" s="28" t="s">
        <v>11</v>
      </c>
      <c r="E3329" s="29">
        <v>1</v>
      </c>
      <c r="F3329" s="17"/>
    </row>
    <row r="3330" spans="1:9" ht="25.5" customHeight="1" x14ac:dyDescent="0.2">
      <c r="A3330" s="27">
        <v>3328</v>
      </c>
      <c r="B3330" s="29" t="s">
        <v>942</v>
      </c>
      <c r="C3330" s="29" t="str">
        <f ca="1">IFERROR(__xludf.DUMMYFUNCTION("GOOGLETRANSLATE(C2913,""en"",""hr"")"),"Perilica")</f>
        <v>Perilica</v>
      </c>
      <c r="D3330" s="28" t="s">
        <v>11</v>
      </c>
      <c r="E3330" s="29">
        <v>1</v>
      </c>
      <c r="F3330" s="17"/>
    </row>
    <row r="3331" spans="1:9" ht="25.5" customHeight="1" x14ac:dyDescent="0.2">
      <c r="A3331" s="27">
        <v>3329</v>
      </c>
      <c r="B3331" s="29" t="s">
        <v>318</v>
      </c>
      <c r="C3331" s="29" t="str">
        <f ca="1">IFERROR(__xludf.DUMMYFUNCTION("GOOGLETRANSLATE(C723,""en"",""hr"")"),"Perilica")</f>
        <v>Perilica</v>
      </c>
      <c r="D3331" s="28" t="s">
        <v>11</v>
      </c>
      <c r="E3331" s="29">
        <v>1</v>
      </c>
      <c r="F3331" s="17"/>
      <c r="I3331" s="4" t="b">
        <f>INT(F3329*100)=(F3329*100)</f>
        <v>1</v>
      </c>
    </row>
    <row r="3332" spans="1:9" ht="25.5" customHeight="1" x14ac:dyDescent="0.2">
      <c r="A3332" s="27">
        <v>3330</v>
      </c>
      <c r="B3332" s="29" t="s">
        <v>1520</v>
      </c>
      <c r="C3332" s="29" t="str">
        <f ca="1">IFERROR(__xludf.DUMMYFUNCTION("GOOGLETRANSLATE(C5157,""en"",""hr"")"),"Perilica")</f>
        <v>Perilica</v>
      </c>
      <c r="D3332" s="28" t="s">
        <v>11</v>
      </c>
      <c r="E3332" s="29">
        <v>1</v>
      </c>
      <c r="F3332" s="17"/>
    </row>
    <row r="3333" spans="1:9" ht="25.5" customHeight="1" x14ac:dyDescent="0.2">
      <c r="A3333" s="27">
        <v>3331</v>
      </c>
      <c r="B3333" s="29" t="s">
        <v>299</v>
      </c>
      <c r="C3333" s="29" t="str">
        <f ca="1">IFERROR(__xludf.DUMMYFUNCTION("GOOGLETRANSLATE(C666,""en"",""hr"")"),"Perilica")</f>
        <v>Perilica</v>
      </c>
      <c r="D3333" s="28" t="s">
        <v>11</v>
      </c>
      <c r="E3333" s="29">
        <v>1</v>
      </c>
      <c r="F3333" s="17"/>
    </row>
    <row r="3334" spans="1:9" ht="25.5" customHeight="1" x14ac:dyDescent="0.2">
      <c r="A3334" s="27">
        <v>3332</v>
      </c>
      <c r="B3334" s="29" t="s">
        <v>153</v>
      </c>
      <c r="C3334" s="29" t="str">
        <f ca="1">IFERROR(__xludf.DUMMYFUNCTION("GOOGLETRANSLATE(C296,""en"",""hr"")"),"Perilica")</f>
        <v>Perilica</v>
      </c>
      <c r="D3334" s="28" t="s">
        <v>11</v>
      </c>
      <c r="E3334" s="29">
        <v>1</v>
      </c>
      <c r="F3334" s="17"/>
    </row>
    <row r="3335" spans="1:9" ht="25.5" customHeight="1" x14ac:dyDescent="0.2">
      <c r="A3335" s="27">
        <v>3333</v>
      </c>
      <c r="B3335" s="29" t="s">
        <v>166</v>
      </c>
      <c r="C3335" s="29" t="str">
        <f ca="1">IFERROR(__xludf.DUMMYFUNCTION("GOOGLETRANSLATE(C321,""en"",""hr"")"),"Perilica")</f>
        <v>Perilica</v>
      </c>
      <c r="D3335" s="28" t="s">
        <v>11</v>
      </c>
      <c r="E3335" s="29">
        <v>1</v>
      </c>
      <c r="F3335" s="17"/>
      <c r="I3335" s="4" t="b">
        <f>INT(F3333*100)=(F3333*100)</f>
        <v>1</v>
      </c>
    </row>
    <row r="3336" spans="1:9" ht="25.5" customHeight="1" x14ac:dyDescent="0.2">
      <c r="A3336" s="27">
        <v>3334</v>
      </c>
      <c r="B3336" s="29" t="s">
        <v>207</v>
      </c>
      <c r="C3336" s="29" t="str">
        <f ca="1">IFERROR(__xludf.DUMMYFUNCTION("GOOGLETRANSLATE(C442,""en"",""hr"")"),"Perilica")</f>
        <v>Perilica</v>
      </c>
      <c r="D3336" s="28" t="s">
        <v>11</v>
      </c>
      <c r="E3336" s="29">
        <v>1</v>
      </c>
      <c r="F3336" s="17"/>
    </row>
    <row r="3337" spans="1:9" ht="25.5" customHeight="1" x14ac:dyDescent="0.2">
      <c r="A3337" s="27">
        <v>3335</v>
      </c>
      <c r="B3337" s="29" t="s">
        <v>224</v>
      </c>
      <c r="C3337" s="29" t="str">
        <f ca="1">IFERROR(__xludf.DUMMYFUNCTION("GOOGLETRANSLATE(C474,""en"",""hr"")"),"Perilica")</f>
        <v>Perilica</v>
      </c>
      <c r="D3337" s="28" t="s">
        <v>11</v>
      </c>
      <c r="E3337" s="29">
        <v>1</v>
      </c>
      <c r="F3337" s="17"/>
    </row>
    <row r="3338" spans="1:9" ht="25.5" customHeight="1" x14ac:dyDescent="0.2">
      <c r="A3338" s="27">
        <v>3336</v>
      </c>
      <c r="B3338" s="29" t="s">
        <v>228</v>
      </c>
      <c r="C3338" s="29" t="str">
        <f ca="1">IFERROR(__xludf.DUMMYFUNCTION("GOOGLETRANSLATE(C478,""en"",""hr"")"),"Perilica")</f>
        <v>Perilica</v>
      </c>
      <c r="D3338" s="28" t="s">
        <v>11</v>
      </c>
      <c r="E3338" s="29">
        <v>1</v>
      </c>
      <c r="F3338" s="17"/>
    </row>
    <row r="3339" spans="1:9" ht="25.5" customHeight="1" x14ac:dyDescent="0.2">
      <c r="A3339" s="27">
        <v>3337</v>
      </c>
      <c r="B3339" s="29" t="s">
        <v>229</v>
      </c>
      <c r="C3339" s="29" t="str">
        <f ca="1">IFERROR(__xludf.DUMMYFUNCTION("GOOGLETRANSLATE(C480,""en"",""hr"")"),"Perilica")</f>
        <v>Perilica</v>
      </c>
      <c r="D3339" s="28" t="s">
        <v>11</v>
      </c>
      <c r="E3339" s="29">
        <v>1</v>
      </c>
      <c r="F3339" s="17"/>
    </row>
    <row r="3340" spans="1:9" ht="25.5" customHeight="1" x14ac:dyDescent="0.2">
      <c r="A3340" s="27">
        <v>3338</v>
      </c>
      <c r="B3340" s="29" t="s">
        <v>796</v>
      </c>
      <c r="C3340" s="29" t="str">
        <f ca="1">IFERROR(__xludf.DUMMYFUNCTION("GOOGLETRANSLATE(C2430,""en"",""hr"")"),"Perilica")</f>
        <v>Perilica</v>
      </c>
      <c r="D3340" s="28" t="s">
        <v>11</v>
      </c>
      <c r="E3340" s="29">
        <v>1</v>
      </c>
      <c r="F3340" s="17"/>
    </row>
    <row r="3341" spans="1:9" ht="25.5" customHeight="1" x14ac:dyDescent="0.2">
      <c r="A3341" s="27">
        <v>3339</v>
      </c>
      <c r="B3341" s="29" t="s">
        <v>209</v>
      </c>
      <c r="C3341" s="29" t="str">
        <f ca="1">IFERROR(__xludf.DUMMYFUNCTION("GOOGLETRANSLATE(C445,""en"",""hr"")"),"Perilica")</f>
        <v>Perilica</v>
      </c>
      <c r="D3341" s="28" t="s">
        <v>11</v>
      </c>
      <c r="E3341" s="29">
        <v>1</v>
      </c>
      <c r="F3341" s="17"/>
    </row>
    <row r="3342" spans="1:9" ht="25.5" customHeight="1" x14ac:dyDescent="0.2">
      <c r="A3342" s="27">
        <v>3340</v>
      </c>
      <c r="B3342" s="29" t="s">
        <v>1057</v>
      </c>
      <c r="C3342" s="29" t="str">
        <f ca="1">IFERROR(__xludf.DUMMYFUNCTION("GOOGLETRANSLATE(C3450,""en"",""hr"")"),"Perilica")</f>
        <v>Perilica</v>
      </c>
      <c r="D3342" s="28" t="s">
        <v>11</v>
      </c>
      <c r="E3342" s="29">
        <v>1</v>
      </c>
      <c r="F3342" s="17"/>
    </row>
    <row r="3343" spans="1:9" ht="25.5" customHeight="1" x14ac:dyDescent="0.2">
      <c r="A3343" s="27">
        <v>3341</v>
      </c>
      <c r="B3343" s="29" t="s">
        <v>982</v>
      </c>
      <c r="C3343" s="29" t="str">
        <f ca="1">IFERROR(__xludf.DUMMYFUNCTION("GOOGLETRANSLATE(C3136,""en"",""hr"")"),"Perilica")</f>
        <v>Perilica</v>
      </c>
      <c r="D3343" s="28" t="s">
        <v>11</v>
      </c>
      <c r="E3343" s="29">
        <v>1</v>
      </c>
      <c r="F3343" s="17"/>
    </row>
    <row r="3344" spans="1:9" ht="25.5" customHeight="1" x14ac:dyDescent="0.2">
      <c r="A3344" s="27">
        <v>3342</v>
      </c>
      <c r="B3344" s="29" t="s">
        <v>175</v>
      </c>
      <c r="C3344" s="29" t="str">
        <f ca="1">IFERROR(__xludf.DUMMYFUNCTION("GOOGLETRANSLATE(C342,""en"",""hr"")"),"Perilica")</f>
        <v>Perilica</v>
      </c>
      <c r="D3344" s="28" t="s">
        <v>11</v>
      </c>
      <c r="E3344" s="29">
        <v>1</v>
      </c>
      <c r="F3344" s="17"/>
    </row>
    <row r="3345" spans="1:9" ht="25.5" customHeight="1" x14ac:dyDescent="0.2">
      <c r="A3345" s="27">
        <v>3343</v>
      </c>
      <c r="B3345" s="29" t="s">
        <v>400</v>
      </c>
      <c r="C3345" s="29" t="str">
        <f ca="1">IFERROR(__xludf.DUMMYFUNCTION("GOOGLETRANSLATE(C942,""en"",""hr"")"),"Perilica")</f>
        <v>Perilica</v>
      </c>
      <c r="D3345" s="28" t="s">
        <v>11</v>
      </c>
      <c r="E3345" s="29">
        <v>1</v>
      </c>
      <c r="F3345" s="17"/>
    </row>
    <row r="3346" spans="1:9" ht="25.5" customHeight="1" x14ac:dyDescent="0.2">
      <c r="A3346" s="27">
        <v>3344</v>
      </c>
      <c r="B3346" s="29" t="s">
        <v>990</v>
      </c>
      <c r="C3346" s="29" t="str">
        <f ca="1">IFERROR(__xludf.DUMMYFUNCTION("GOOGLETRANSLATE(C3169,""en"",""hr"")"),"Perilica")</f>
        <v>Perilica</v>
      </c>
      <c r="D3346" s="28" t="s">
        <v>11</v>
      </c>
      <c r="E3346" s="29">
        <v>1</v>
      </c>
      <c r="F3346" s="17"/>
    </row>
    <row r="3347" spans="1:9" ht="25.5" customHeight="1" x14ac:dyDescent="0.2">
      <c r="A3347" s="27">
        <v>3345</v>
      </c>
      <c r="B3347" s="29" t="s">
        <v>289</v>
      </c>
      <c r="C3347" s="29" t="str">
        <f ca="1">IFERROR(__xludf.DUMMYFUNCTION("GOOGLETRANSLATE(C639,""en"",""hr"")"),"Perilica")</f>
        <v>Perilica</v>
      </c>
      <c r="D3347" s="28" t="s">
        <v>11</v>
      </c>
      <c r="E3347" s="29">
        <v>1</v>
      </c>
      <c r="F3347" s="17"/>
    </row>
    <row r="3348" spans="1:9" ht="25.5" customHeight="1" x14ac:dyDescent="0.2">
      <c r="A3348" s="27">
        <v>3346</v>
      </c>
      <c r="B3348" s="29" t="s">
        <v>981</v>
      </c>
      <c r="C3348" s="29" t="str">
        <f ca="1">IFERROR(__xludf.DUMMYFUNCTION("GOOGLETRANSLATE(C3127,""en"",""hr"")"),"Perilica")</f>
        <v>Perilica</v>
      </c>
      <c r="D3348" s="28" t="s">
        <v>11</v>
      </c>
      <c r="E3348" s="29">
        <v>1</v>
      </c>
      <c r="F3348" s="17"/>
    </row>
    <row r="3349" spans="1:9" ht="25.5" customHeight="1" x14ac:dyDescent="0.2">
      <c r="A3349" s="27">
        <v>3347</v>
      </c>
      <c r="B3349" s="29" t="s">
        <v>2023</v>
      </c>
      <c r="C3349" s="29" t="str">
        <f ca="1">IFERROR(__xludf.DUMMYFUNCTION("GOOGLETRANSLATE(C6858,""en"",""hr"")"),"Perilica")</f>
        <v>Perilica</v>
      </c>
      <c r="D3349" s="28" t="s">
        <v>11</v>
      </c>
      <c r="E3349" s="29">
        <v>1</v>
      </c>
      <c r="F3349" s="17"/>
    </row>
    <row r="3350" spans="1:9" ht="25.5" customHeight="1" x14ac:dyDescent="0.2">
      <c r="A3350" s="27">
        <v>3348</v>
      </c>
      <c r="B3350" s="29" t="s">
        <v>1629</v>
      </c>
      <c r="C3350" s="29" t="str">
        <f ca="1">IFERROR(__xludf.DUMMYFUNCTION("GOOGLETRANSLATE(C5482,""en"",""hr"")"),"Perilica")</f>
        <v>Perilica</v>
      </c>
      <c r="D3350" s="28" t="s">
        <v>11</v>
      </c>
      <c r="E3350" s="29">
        <v>1</v>
      </c>
      <c r="F3350" s="17"/>
    </row>
    <row r="3351" spans="1:9" ht="25.5" customHeight="1" x14ac:dyDescent="0.2">
      <c r="A3351" s="27">
        <v>3349</v>
      </c>
      <c r="B3351" s="29" t="s">
        <v>395</v>
      </c>
      <c r="C3351" s="29" t="str">
        <f ca="1">IFERROR(__xludf.DUMMYFUNCTION("GOOGLETRANSLATE(C929,""en"",""hr"")"),"Cu prsten")</f>
        <v>Cu prsten</v>
      </c>
      <c r="D3351" s="28" t="s">
        <v>11</v>
      </c>
      <c r="E3351" s="29">
        <v>1</v>
      </c>
      <c r="F3351" s="17"/>
    </row>
    <row r="3352" spans="1:9" ht="25.5" customHeight="1" x14ac:dyDescent="0.2">
      <c r="A3352" s="27">
        <v>3350</v>
      </c>
      <c r="B3352" s="29" t="s">
        <v>898</v>
      </c>
      <c r="C3352" s="29" t="str">
        <f ca="1">IFERROR(__xludf.DUMMYFUNCTION("GOOGLETRANSLATE(C2657,""en"",""hr"")"),"Perilica")</f>
        <v>Perilica</v>
      </c>
      <c r="D3352" s="28" t="s">
        <v>11</v>
      </c>
      <c r="E3352" s="29">
        <v>1</v>
      </c>
      <c r="F3352" s="17"/>
    </row>
    <row r="3353" spans="1:9" ht="25.5" customHeight="1" x14ac:dyDescent="0.2">
      <c r="A3353" s="27">
        <v>3351</v>
      </c>
      <c r="B3353" s="29" t="s">
        <v>853</v>
      </c>
      <c r="C3353" s="29" t="str">
        <f ca="1">IFERROR(__xludf.DUMMYFUNCTION("GOOGLETRANSLATE(C2520,""en"",""hr"")"),"Perilica")</f>
        <v>Perilica</v>
      </c>
      <c r="D3353" s="28" t="s">
        <v>11</v>
      </c>
      <c r="E3353" s="29">
        <v>1</v>
      </c>
      <c r="F3353" s="17"/>
      <c r="I3353" s="4" t="b">
        <f>INT(F3351*100)=(F3351*100)</f>
        <v>1</v>
      </c>
    </row>
    <row r="3354" spans="1:9" ht="25.5" customHeight="1" x14ac:dyDescent="0.2">
      <c r="A3354" s="27">
        <v>3352</v>
      </c>
      <c r="B3354" s="29" t="s">
        <v>1577</v>
      </c>
      <c r="C3354" s="29" t="str">
        <f ca="1">IFERROR(__xludf.DUMMYFUNCTION("GOOGLETRANSLATE(C5345,""en"",""hr"")"),"Perilica")</f>
        <v>Perilica</v>
      </c>
      <c r="D3354" s="28" t="s">
        <v>11</v>
      </c>
      <c r="E3354" s="29">
        <v>1</v>
      </c>
      <c r="F3354" s="17"/>
    </row>
    <row r="3355" spans="1:9" ht="25.5" customHeight="1" x14ac:dyDescent="0.2">
      <c r="A3355" s="27">
        <v>3353</v>
      </c>
      <c r="B3355" s="29" t="s">
        <v>943</v>
      </c>
      <c r="C3355" s="29" t="str">
        <f ca="1">IFERROR(__xludf.DUMMYFUNCTION("GOOGLETRANSLATE(C2952,""en"",""hr"")"),"Perilica")</f>
        <v>Perilica</v>
      </c>
      <c r="D3355" s="28" t="s">
        <v>11</v>
      </c>
      <c r="E3355" s="29">
        <v>1</v>
      </c>
      <c r="F3355" s="17"/>
    </row>
    <row r="3356" spans="1:9" ht="25.5" customHeight="1" x14ac:dyDescent="0.2">
      <c r="A3356" s="27">
        <v>3354</v>
      </c>
      <c r="B3356" s="29" t="s">
        <v>861</v>
      </c>
      <c r="C3356" s="29" t="str">
        <f ca="1">IFERROR(__xludf.DUMMYFUNCTION("GOOGLETRANSLATE(C2534,""en"",""hr"")"),"Perilica")</f>
        <v>Perilica</v>
      </c>
      <c r="D3356" s="28" t="s">
        <v>11</v>
      </c>
      <c r="E3356" s="29">
        <v>1</v>
      </c>
      <c r="F3356" s="17"/>
      <c r="I3356" s="4" t="b">
        <f>INT(F3354*100)=(F3354*100)</f>
        <v>1</v>
      </c>
    </row>
    <row r="3357" spans="1:9" ht="25.5" customHeight="1" x14ac:dyDescent="0.2">
      <c r="A3357" s="27">
        <v>3355</v>
      </c>
      <c r="B3357" s="29" t="s">
        <v>675</v>
      </c>
      <c r="C3357" s="29" t="str">
        <f ca="1">IFERROR(__xludf.DUMMYFUNCTION("GOOGLETRANSLATE(C2115,""en"",""hr"")"),"Perilica")</f>
        <v>Perilica</v>
      </c>
      <c r="D3357" s="28" t="s">
        <v>11</v>
      </c>
      <c r="E3357" s="29">
        <v>1</v>
      </c>
      <c r="F3357" s="17"/>
    </row>
    <row r="3358" spans="1:9" ht="25.5" customHeight="1" x14ac:dyDescent="0.2">
      <c r="A3358" s="27">
        <v>3356</v>
      </c>
      <c r="B3358" s="29" t="s">
        <v>771</v>
      </c>
      <c r="C3358" s="29" t="str">
        <f ca="1">IFERROR(__xludf.DUMMYFUNCTION("GOOGLETRANSLATE(C2400,""en"",""hr"")"),"Perilica")</f>
        <v>Perilica</v>
      </c>
      <c r="D3358" s="28" t="s">
        <v>11</v>
      </c>
      <c r="E3358" s="29">
        <v>1</v>
      </c>
      <c r="F3358" s="17"/>
    </row>
    <row r="3359" spans="1:9" ht="25.5" customHeight="1" x14ac:dyDescent="0.2">
      <c r="A3359" s="27">
        <v>3357</v>
      </c>
      <c r="B3359" s="29" t="s">
        <v>785</v>
      </c>
      <c r="C3359" s="29" t="str">
        <f ca="1">IFERROR(__xludf.DUMMYFUNCTION("GOOGLETRANSLATE(C2415,""en"",""hr"")"),"Perilica")</f>
        <v>Perilica</v>
      </c>
      <c r="D3359" s="28" t="s">
        <v>11</v>
      </c>
      <c r="E3359" s="29">
        <v>1</v>
      </c>
      <c r="F3359" s="17"/>
    </row>
    <row r="3360" spans="1:9" ht="25.5" customHeight="1" x14ac:dyDescent="0.2">
      <c r="A3360" s="27">
        <v>3358</v>
      </c>
      <c r="B3360" s="29" t="s">
        <v>1624</v>
      </c>
      <c r="C3360" s="29" t="str">
        <f ca="1">IFERROR(__xludf.DUMMYFUNCTION("GOOGLETRANSLATE(C5471,""en"",""hr"")"),"Perilica")</f>
        <v>Perilica</v>
      </c>
      <c r="D3360" s="28" t="s">
        <v>11</v>
      </c>
      <c r="E3360" s="29">
        <v>1</v>
      </c>
      <c r="F3360" s="17"/>
      <c r="I3360" s="4" t="b">
        <f>INT(F3358*100)=(F3358*100)</f>
        <v>1</v>
      </c>
    </row>
    <row r="3361" spans="1:6" ht="25.5" customHeight="1" x14ac:dyDescent="0.2">
      <c r="A3361" s="27">
        <v>3359</v>
      </c>
      <c r="B3361" s="29" t="s">
        <v>618</v>
      </c>
      <c r="C3361" s="29" t="str">
        <f ca="1">IFERROR(__xludf.DUMMYFUNCTION("GOOGLETRANSLATE(C1920,""en"",""hr"")"),"Perilica")</f>
        <v>Perilica</v>
      </c>
      <c r="D3361" s="28" t="s">
        <v>11</v>
      </c>
      <c r="E3361" s="29">
        <v>1</v>
      </c>
      <c r="F3361" s="17"/>
    </row>
    <row r="3362" spans="1:6" ht="25.5" customHeight="1" x14ac:dyDescent="0.2">
      <c r="A3362" s="27">
        <v>3360</v>
      </c>
      <c r="B3362" s="29" t="s">
        <v>677</v>
      </c>
      <c r="C3362" s="29" t="str">
        <f ca="1">IFERROR(__xludf.DUMMYFUNCTION("GOOGLETRANSLATE(C2118,""en"",""hr"")"),"Perilica")</f>
        <v>Perilica</v>
      </c>
      <c r="D3362" s="28" t="s">
        <v>11</v>
      </c>
      <c r="E3362" s="29">
        <v>1</v>
      </c>
      <c r="F3362" s="17"/>
    </row>
    <row r="3363" spans="1:6" ht="25.5" customHeight="1" x14ac:dyDescent="0.2">
      <c r="A3363" s="27">
        <v>3361</v>
      </c>
      <c r="B3363" s="29" t="s">
        <v>1450</v>
      </c>
      <c r="C3363" s="29" t="str">
        <f ca="1">IFERROR(__xludf.DUMMYFUNCTION("GOOGLETRANSLATE(C4732,""en"",""hr"")"),"Perilica")</f>
        <v>Perilica</v>
      </c>
      <c r="D3363" s="28" t="s">
        <v>11</v>
      </c>
      <c r="E3363" s="29">
        <v>1</v>
      </c>
      <c r="F3363" s="17"/>
    </row>
    <row r="3364" spans="1:6" ht="25.5" customHeight="1" x14ac:dyDescent="0.2">
      <c r="A3364" s="27">
        <v>3362</v>
      </c>
      <c r="B3364" s="29" t="s">
        <v>180</v>
      </c>
      <c r="C3364" s="29" t="str">
        <f ca="1">IFERROR(__xludf.DUMMYFUNCTION("GOOGLETRANSLATE(C364,""en"",""hr"")"),"Perilica")</f>
        <v>Perilica</v>
      </c>
      <c r="D3364" s="28" t="s">
        <v>11</v>
      </c>
      <c r="E3364" s="29">
        <v>1</v>
      </c>
      <c r="F3364" s="17"/>
    </row>
    <row r="3365" spans="1:6" ht="25.5" customHeight="1" x14ac:dyDescent="0.2">
      <c r="A3365" s="27">
        <v>3363</v>
      </c>
      <c r="B3365" s="29" t="s">
        <v>151</v>
      </c>
      <c r="C3365" s="29" t="str">
        <f ca="1">IFERROR(__xludf.DUMMYFUNCTION("GOOGLETRANSLATE(C293,""en"",""hr"")"),"Podloška za zaključavanje")</f>
        <v>Podloška za zaključavanje</v>
      </c>
      <c r="D3365" s="28" t="s">
        <v>11</v>
      </c>
      <c r="E3365" s="29">
        <v>1</v>
      </c>
      <c r="F3365" s="17"/>
    </row>
    <row r="3366" spans="1:6" ht="25.5" customHeight="1" x14ac:dyDescent="0.2">
      <c r="A3366" s="27">
        <v>3364</v>
      </c>
      <c r="B3366" s="29" t="s">
        <v>147</v>
      </c>
      <c r="C3366" s="29" t="str">
        <f ca="1">IFERROR(__xludf.DUMMYFUNCTION("GOOGLETRANSLATE(C287,""en"",""hr"")"),"Klinasta podloška")</f>
        <v>Klinasta podloška</v>
      </c>
      <c r="D3366" s="28" t="s">
        <v>11</v>
      </c>
      <c r="E3366" s="29">
        <v>1</v>
      </c>
      <c r="F3366" s="17"/>
    </row>
    <row r="3367" spans="1:6" ht="25.5" customHeight="1" x14ac:dyDescent="0.2">
      <c r="A3367" s="27">
        <v>3365</v>
      </c>
      <c r="B3367" s="29" t="s">
        <v>335</v>
      </c>
      <c r="C3367" s="29" t="str">
        <f ca="1">IFERROR(__xludf.DUMMYFUNCTION("GOOGLETRANSLATE(C755,""en"",""hr"")"),"Klinasta podloška")</f>
        <v>Klinasta podloška</v>
      </c>
      <c r="D3367" s="28" t="s">
        <v>11</v>
      </c>
      <c r="E3367" s="29">
        <v>1</v>
      </c>
      <c r="F3367" s="17"/>
    </row>
    <row r="3368" spans="1:6" ht="25.5" customHeight="1" x14ac:dyDescent="0.2">
      <c r="A3368" s="27">
        <v>3366</v>
      </c>
      <c r="B3368" s="29" t="s">
        <v>397</v>
      </c>
      <c r="C3368" s="29" t="str">
        <f ca="1">IFERROR(__xludf.DUMMYFUNCTION("GOOGLETRANSLATE(C937,""en"",""hr"")"),"Wedge Lock podloška")</f>
        <v>Wedge Lock podloška</v>
      </c>
      <c r="D3368" s="28" t="s">
        <v>11</v>
      </c>
      <c r="E3368" s="29">
        <v>1</v>
      </c>
      <c r="F3368" s="17"/>
    </row>
    <row r="3369" spans="1:6" ht="25.5" customHeight="1" x14ac:dyDescent="0.2">
      <c r="A3369" s="27">
        <v>3367</v>
      </c>
      <c r="B3369" s="29" t="s">
        <v>793</v>
      </c>
      <c r="C3369" s="29" t="str">
        <f ca="1">IFERROR(__xludf.DUMMYFUNCTION("GOOGLETRANSLATE(C2423,""en"",""hr"")"),"Perilica")</f>
        <v>Perilica</v>
      </c>
      <c r="D3369" s="28" t="s">
        <v>11</v>
      </c>
      <c r="E3369" s="29">
        <v>1</v>
      </c>
      <c r="F3369" s="17"/>
    </row>
    <row r="3370" spans="1:6" ht="25.5" customHeight="1" x14ac:dyDescent="0.2">
      <c r="A3370" s="27">
        <v>3368</v>
      </c>
      <c r="B3370" s="29" t="s">
        <v>1836</v>
      </c>
      <c r="C3370" s="29" t="str">
        <f ca="1">IFERROR(__xludf.DUMMYFUNCTION("GOOGLETRANSLATE(C6425,""en"",""hr"")"),"Perilica")</f>
        <v>Perilica</v>
      </c>
      <c r="D3370" s="28" t="s">
        <v>11</v>
      </c>
      <c r="E3370" s="29">
        <v>1</v>
      </c>
      <c r="F3370" s="17"/>
    </row>
    <row r="3371" spans="1:6" ht="25.5" customHeight="1" x14ac:dyDescent="0.2">
      <c r="A3371" s="27">
        <v>3369</v>
      </c>
      <c r="B3371" s="29" t="s">
        <v>617</v>
      </c>
      <c r="C3371" s="29" t="str">
        <f ca="1">IFERROR(__xludf.DUMMYFUNCTION("GOOGLETRANSLATE(C1912,""en"",""hr"")"),"Perilica")</f>
        <v>Perilica</v>
      </c>
      <c r="D3371" s="28" t="s">
        <v>11</v>
      </c>
      <c r="E3371" s="29">
        <v>1</v>
      </c>
      <c r="F3371" s="17"/>
    </row>
    <row r="3372" spans="1:6" ht="25.5" customHeight="1" x14ac:dyDescent="0.2">
      <c r="A3372" s="27">
        <v>3370</v>
      </c>
      <c r="B3372" s="29" t="s">
        <v>1459</v>
      </c>
      <c r="C3372" s="29" t="str">
        <f ca="1">IFERROR(__xludf.DUMMYFUNCTION("GOOGLETRANSLATE(C4856,""en"",""hr"")"),"Perilica")</f>
        <v>Perilica</v>
      </c>
      <c r="D3372" s="28" t="s">
        <v>11</v>
      </c>
      <c r="E3372" s="29">
        <v>1</v>
      </c>
      <c r="F3372" s="17"/>
    </row>
    <row r="3373" spans="1:6" ht="25.5" customHeight="1" x14ac:dyDescent="0.2">
      <c r="A3373" s="27">
        <v>3371</v>
      </c>
      <c r="B3373" s="29" t="s">
        <v>179</v>
      </c>
      <c r="C3373" s="29" t="str">
        <f ca="1">IFERROR(__xludf.DUMMYFUNCTION("GOOGLETRANSLATE(C363,""en"",""hr"")"),"Perilica")</f>
        <v>Perilica</v>
      </c>
      <c r="D3373" s="28" t="s">
        <v>11</v>
      </c>
      <c r="E3373" s="29">
        <v>1</v>
      </c>
      <c r="F3373" s="17"/>
    </row>
    <row r="3374" spans="1:6" ht="25.5" customHeight="1" x14ac:dyDescent="0.2">
      <c r="A3374" s="27">
        <v>3372</v>
      </c>
      <c r="B3374" s="29" t="s">
        <v>149</v>
      </c>
      <c r="C3374" s="29" t="str">
        <f ca="1">IFERROR(__xludf.DUMMYFUNCTION("GOOGLETRANSLATE(C289,""en"",""hr"")"),"Perilica")</f>
        <v>Perilica</v>
      </c>
      <c r="D3374" s="28" t="s">
        <v>11</v>
      </c>
      <c r="E3374" s="29">
        <v>1</v>
      </c>
      <c r="F3374" s="17"/>
    </row>
    <row r="3375" spans="1:6" ht="25.5" customHeight="1" x14ac:dyDescent="0.2">
      <c r="A3375" s="27">
        <v>3373</v>
      </c>
      <c r="B3375" s="29" t="s">
        <v>331</v>
      </c>
      <c r="C3375" s="29" t="str">
        <f ca="1">IFERROR(__xludf.DUMMYFUNCTION("GOOGLETRANSLATE(C748,""en"",""hr"")"),"Perilica")</f>
        <v>Perilica</v>
      </c>
      <c r="D3375" s="28" t="s">
        <v>11</v>
      </c>
      <c r="E3375" s="29">
        <v>1</v>
      </c>
      <c r="F3375" s="17"/>
    </row>
    <row r="3376" spans="1:6" ht="25.5" customHeight="1" x14ac:dyDescent="0.2">
      <c r="A3376" s="27">
        <v>3374</v>
      </c>
      <c r="B3376" s="29" t="s">
        <v>216</v>
      </c>
      <c r="C3376" s="29" t="str">
        <f ca="1">IFERROR(__xludf.DUMMYFUNCTION("GOOGLETRANSLATE(C457,""en"",""hr"")"),"Perilica")</f>
        <v>Perilica</v>
      </c>
      <c r="D3376" s="28" t="s">
        <v>11</v>
      </c>
      <c r="E3376" s="29">
        <v>1</v>
      </c>
      <c r="F3376" s="17"/>
    </row>
    <row r="3377" spans="1:9" ht="25.5" customHeight="1" x14ac:dyDescent="0.2">
      <c r="A3377" s="27">
        <v>3375</v>
      </c>
      <c r="B3377" s="29" t="s">
        <v>146</v>
      </c>
      <c r="C3377" s="29" t="str">
        <f ca="1">IFERROR(__xludf.DUMMYFUNCTION("GOOGLETRANSLATE(C285,""en"",""hr"")"),"Perilica")</f>
        <v>Perilica</v>
      </c>
      <c r="D3377" s="28" t="s">
        <v>11</v>
      </c>
      <c r="E3377" s="29">
        <v>1</v>
      </c>
      <c r="F3377" s="17"/>
    </row>
    <row r="3378" spans="1:9" ht="25.5" customHeight="1" x14ac:dyDescent="0.2">
      <c r="A3378" s="27">
        <v>3376</v>
      </c>
      <c r="B3378" s="29" t="s">
        <v>1464</v>
      </c>
      <c r="C3378" s="29" t="str">
        <f ca="1">IFERROR(__xludf.DUMMYFUNCTION("GOOGLETRANSLATE(C4886,""en"",""hr"")"),"Perilica")</f>
        <v>Perilica</v>
      </c>
      <c r="D3378" s="28" t="s">
        <v>11</v>
      </c>
      <c r="E3378" s="29">
        <v>1</v>
      </c>
      <c r="F3378" s="17"/>
    </row>
    <row r="3379" spans="1:9" ht="25.5" customHeight="1" x14ac:dyDescent="0.2">
      <c r="A3379" s="27">
        <v>3377</v>
      </c>
      <c r="B3379" s="29" t="s">
        <v>183</v>
      </c>
      <c r="C3379" s="29" t="str">
        <f ca="1">IFERROR(__xludf.DUMMYFUNCTION("GOOGLETRANSLATE(C373,""en"",""hr"")"),"Perilica")</f>
        <v>Perilica</v>
      </c>
      <c r="D3379" s="28" t="s">
        <v>11</v>
      </c>
      <c r="E3379" s="29">
        <v>1</v>
      </c>
      <c r="F3379" s="17"/>
      <c r="I3379" s="4" t="b">
        <f>INT(F3377*100)=(F3377*100)</f>
        <v>1</v>
      </c>
    </row>
    <row r="3380" spans="1:9" ht="25.5" customHeight="1" x14ac:dyDescent="0.2">
      <c r="A3380" s="27">
        <v>3378</v>
      </c>
      <c r="B3380" s="29" t="s">
        <v>920</v>
      </c>
      <c r="C3380" s="29" t="str">
        <f ca="1">IFERROR(__xludf.DUMMYFUNCTION("GOOGLETRANSLATE(C2765,""en"",""hr"")"),"Perilica")</f>
        <v>Perilica</v>
      </c>
      <c r="D3380" s="28" t="s">
        <v>11</v>
      </c>
      <c r="E3380" s="29">
        <v>1</v>
      </c>
      <c r="F3380" s="17"/>
    </row>
    <row r="3381" spans="1:9" ht="25.5" customHeight="1" x14ac:dyDescent="0.2">
      <c r="A3381" s="27">
        <v>3379</v>
      </c>
      <c r="B3381" s="29" t="s">
        <v>495</v>
      </c>
      <c r="C3381" s="29" t="str">
        <f ca="1">IFERROR(__xludf.DUMMYFUNCTION("GOOGLETRANSLATE(C1208,""en"",""hr"")"),"Perilica")</f>
        <v>Perilica</v>
      </c>
      <c r="D3381" s="28" t="s">
        <v>11</v>
      </c>
      <c r="E3381" s="29">
        <v>1</v>
      </c>
      <c r="F3381" s="17"/>
    </row>
    <row r="3382" spans="1:9" ht="25.5" customHeight="1" x14ac:dyDescent="0.2">
      <c r="A3382" s="27">
        <v>3380</v>
      </c>
      <c r="B3382" s="29" t="s">
        <v>1377</v>
      </c>
      <c r="C3382" s="29" t="str">
        <f ca="1">IFERROR(__xludf.DUMMYFUNCTION("GOOGLETRANSLATE(C4365,""en"",""hr"")"),"Perilica")</f>
        <v>Perilica</v>
      </c>
      <c r="D3382" s="28" t="s">
        <v>11</v>
      </c>
      <c r="E3382" s="29">
        <v>1</v>
      </c>
      <c r="F3382" s="17"/>
      <c r="I3382" s="4" t="b">
        <f>INT(F3380*100)=(F3380*100)</f>
        <v>1</v>
      </c>
    </row>
    <row r="3383" spans="1:9" ht="25.5" customHeight="1" x14ac:dyDescent="0.2">
      <c r="A3383" s="27">
        <v>3381</v>
      </c>
      <c r="B3383" s="29" t="s">
        <v>1031</v>
      </c>
      <c r="C3383" s="29" t="str">
        <f ca="1">IFERROR(__xludf.DUMMYFUNCTION("GOOGLETRANSLATE(C3356,""en"",""hr"")"),"Podloška za zaključavanje unutarnjih zuba")</f>
        <v>Podloška za zaključavanje unutarnjih zuba</v>
      </c>
      <c r="D3383" s="28" t="s">
        <v>11</v>
      </c>
      <c r="E3383" s="29">
        <v>1</v>
      </c>
      <c r="F3383" s="17"/>
    </row>
    <row r="3384" spans="1:9" ht="25.5" customHeight="1" x14ac:dyDescent="0.2">
      <c r="A3384" s="27">
        <v>3382</v>
      </c>
      <c r="B3384" s="29" t="s">
        <v>311</v>
      </c>
      <c r="C3384" s="29" t="str">
        <f ca="1">IFERROR(__xludf.DUMMYFUNCTION("GOOGLETRANSLATE(C690,""en"",""hr"")"),"Podloška za zaključavanje")</f>
        <v>Podloška za zaključavanje</v>
      </c>
      <c r="D3384" s="28" t="s">
        <v>11</v>
      </c>
      <c r="E3384" s="29">
        <v>1</v>
      </c>
      <c r="F3384" s="17"/>
    </row>
    <row r="3385" spans="1:9" ht="25.5" customHeight="1" x14ac:dyDescent="0.2">
      <c r="A3385" s="27">
        <v>3383</v>
      </c>
      <c r="B3385" s="29" t="s">
        <v>1356</v>
      </c>
      <c r="C3385" s="29" t="str">
        <f ca="1">IFERROR(__xludf.DUMMYFUNCTION("GOOGLETRANSLATE(C4300,""en"",""hr"")"),"Vijak")</f>
        <v>Vijak</v>
      </c>
      <c r="D3385" s="28" t="s">
        <v>11</v>
      </c>
      <c r="E3385" s="29">
        <v>1</v>
      </c>
      <c r="F3385" s="17"/>
    </row>
    <row r="3386" spans="1:9" ht="25.5" customHeight="1" x14ac:dyDescent="0.2">
      <c r="A3386" s="27">
        <v>3384</v>
      </c>
      <c r="B3386" s="29" t="s">
        <v>994</v>
      </c>
      <c r="C3386" s="29" t="str">
        <f ca="1">IFERROR(__xludf.DUMMYFUNCTION("GOOGLETRANSLATE(C3176,""en"",""hr"")"),"Vijak za postavljanje ramena")</f>
        <v>Vijak za postavljanje ramena</v>
      </c>
      <c r="D3386" s="28" t="s">
        <v>11</v>
      </c>
      <c r="E3386" s="29">
        <v>1</v>
      </c>
      <c r="F3386" s="17"/>
      <c r="I3386" s="4" t="b">
        <f>INT(F3384*100)=(F3384*100)</f>
        <v>1</v>
      </c>
    </row>
    <row r="3387" spans="1:9" ht="25.5" customHeight="1" x14ac:dyDescent="0.2">
      <c r="A3387" s="27">
        <v>3385</v>
      </c>
      <c r="B3387" s="29" t="s">
        <v>1225</v>
      </c>
      <c r="C3387" s="29" t="str">
        <f ca="1">IFERROR(__xludf.DUMMYFUNCTION("GOOGLETRANSLATE(C3872,""en"",""hr"")"),"Zakretni zatik")</f>
        <v>Zakretni zatik</v>
      </c>
      <c r="D3387" s="28" t="s">
        <v>11</v>
      </c>
      <c r="E3387" s="29">
        <v>1</v>
      </c>
      <c r="F3387" s="17"/>
    </row>
    <row r="3388" spans="1:9" ht="25.5" customHeight="1" x14ac:dyDescent="0.2">
      <c r="A3388" s="27">
        <v>3386</v>
      </c>
      <c r="B3388" s="29" t="s">
        <v>1548</v>
      </c>
      <c r="C3388" s="29" t="str">
        <f ca="1">IFERROR(__xludf.DUMMYFUNCTION("GOOGLETRANSLATE(C5270,""en"",""hr"")"),"Pin")</f>
        <v>Pin</v>
      </c>
      <c r="D3388" s="28" t="s">
        <v>11</v>
      </c>
      <c r="E3388" s="29">
        <v>1</v>
      </c>
      <c r="F3388" s="17"/>
    </row>
    <row r="3389" spans="1:9" ht="25.5" customHeight="1" x14ac:dyDescent="0.2">
      <c r="A3389" s="27">
        <v>3387</v>
      </c>
      <c r="B3389" s="29" t="s">
        <v>1652</v>
      </c>
      <c r="C3389" s="29" t="str">
        <f ca="1">IFERROR(__xludf.DUMMYFUNCTION("GOOGLETRANSLATE(C5611,""en"",""hr"")"),"Stezna čahura")</f>
        <v>Stezna čahura</v>
      </c>
      <c r="D3389" s="28" t="s">
        <v>11</v>
      </c>
      <c r="E3389" s="29">
        <v>1</v>
      </c>
      <c r="F3389" s="17"/>
    </row>
    <row r="3390" spans="1:9" ht="25.5" customHeight="1" x14ac:dyDescent="0.2">
      <c r="A3390" s="27">
        <v>3388</v>
      </c>
      <c r="B3390" s="29" t="s">
        <v>2022</v>
      </c>
      <c r="C3390" s="29" t="str">
        <f ca="1">IFERROR(__xludf.DUMMYFUNCTION("GOOGLETRANSLATE(C6839,""en"",""hr"")"),"Stezna čahura")</f>
        <v>Stezna čahura</v>
      </c>
      <c r="D3390" s="28" t="s">
        <v>11</v>
      </c>
      <c r="E3390" s="29">
        <v>1</v>
      </c>
      <c r="F3390" s="17"/>
    </row>
    <row r="3391" spans="1:9" ht="25.5" customHeight="1" x14ac:dyDescent="0.2">
      <c r="A3391" s="27">
        <v>3389</v>
      </c>
      <c r="B3391" s="29" t="s">
        <v>822</v>
      </c>
      <c r="C3391" s="29" t="str">
        <f ca="1">IFERROR(__xludf.DUMMYFUNCTION("GOOGLETRANSLATE(C2475,""en"",""hr"")"),"Stezna čahura")</f>
        <v>Stezna čahura</v>
      </c>
      <c r="D3391" s="28" t="s">
        <v>11</v>
      </c>
      <c r="E3391" s="29">
        <v>1</v>
      </c>
      <c r="F3391" s="17"/>
    </row>
    <row r="3392" spans="1:9" ht="25.5" customHeight="1" x14ac:dyDescent="0.2">
      <c r="A3392" s="27">
        <v>3390</v>
      </c>
      <c r="B3392" s="29" t="s">
        <v>1355</v>
      </c>
      <c r="C3392" s="29" t="str">
        <f ca="1">IFERROR(__xludf.DUMMYFUNCTION("GOOGLETRANSLATE(C4298,""en"",""hr"")"),"Razdvojena igla")</f>
        <v>Razdvojena igla</v>
      </c>
      <c r="D3392" s="28" t="s">
        <v>11</v>
      </c>
      <c r="E3392" s="29">
        <v>1</v>
      </c>
      <c r="F3392" s="17"/>
    </row>
    <row r="3393" spans="1:9" ht="25.5" customHeight="1" x14ac:dyDescent="0.2">
      <c r="A3393" s="27">
        <v>3391</v>
      </c>
      <c r="B3393" s="29" t="s">
        <v>324</v>
      </c>
      <c r="C3393" s="29" t="str">
        <f ca="1">IFERROR(__xludf.DUMMYFUNCTION("GOOGLETRANSLATE(C733,""en"",""hr"")"),"Razdvojena igla")</f>
        <v>Razdvojena igla</v>
      </c>
      <c r="D3393" s="28" t="s">
        <v>11</v>
      </c>
      <c r="E3393" s="29">
        <v>1</v>
      </c>
      <c r="F3393" s="17"/>
    </row>
    <row r="3394" spans="1:9" ht="25.5" customHeight="1" x14ac:dyDescent="0.2">
      <c r="A3394" s="27">
        <v>3392</v>
      </c>
      <c r="B3394" s="29" t="s">
        <v>821</v>
      </c>
      <c r="C3394" s="29" t="str">
        <f ca="1">IFERROR(__xludf.DUMMYFUNCTION("GOOGLETRANSLATE(C2474,""en"",""hr"")"),"Razdvojena igla")</f>
        <v>Razdvojena igla</v>
      </c>
      <c r="D3394" s="28" t="s">
        <v>11</v>
      </c>
      <c r="E3394" s="29">
        <v>1</v>
      </c>
      <c r="F3394" s="17"/>
    </row>
    <row r="3395" spans="1:9" ht="25.5" customHeight="1" x14ac:dyDescent="0.2">
      <c r="A3395" s="27">
        <v>3393</v>
      </c>
      <c r="B3395" s="29" t="s">
        <v>231</v>
      </c>
      <c r="C3395" s="29" t="str">
        <f ca="1">IFERROR(__xludf.DUMMYFUNCTION("GOOGLETRANSLATE(C483,""en"",""hr"")"),"Razdvojena igla")</f>
        <v>Razdvojena igla</v>
      </c>
      <c r="D3395" s="28" t="s">
        <v>11</v>
      </c>
      <c r="E3395" s="29">
        <v>1</v>
      </c>
      <c r="F3395" s="17"/>
    </row>
    <row r="3396" spans="1:9" ht="25.5" customHeight="1" x14ac:dyDescent="0.2">
      <c r="A3396" s="27">
        <v>3394</v>
      </c>
      <c r="B3396" s="29" t="s">
        <v>786</v>
      </c>
      <c r="C3396" s="29" t="str">
        <f ca="1">IFERROR(__xludf.DUMMYFUNCTION("GOOGLETRANSLATE(C2416,""en"",""hr"")"),"Razdvojena igla")</f>
        <v>Razdvojena igla</v>
      </c>
      <c r="D3396" s="28" t="s">
        <v>11</v>
      </c>
      <c r="E3396" s="29">
        <v>1</v>
      </c>
      <c r="F3396" s="17"/>
    </row>
    <row r="3397" spans="1:9" ht="25.5" customHeight="1" x14ac:dyDescent="0.2">
      <c r="A3397" s="27">
        <v>3395</v>
      </c>
      <c r="B3397" s="29" t="s">
        <v>1868</v>
      </c>
      <c r="C3397" s="29" t="str">
        <f ca="1">IFERROR(__xludf.DUMMYFUNCTION("GOOGLETRANSLATE(C6580,""en"",""hr"")"),"Dijagnostička jedinica Bodas-Service")</f>
        <v>Dijagnostička jedinica Bodas-Service</v>
      </c>
      <c r="D3397" s="28" t="s">
        <v>11</v>
      </c>
      <c r="E3397" s="29">
        <v>1</v>
      </c>
      <c r="F3397" s="17"/>
    </row>
    <row r="3398" spans="1:9" ht="25.5" customHeight="1" x14ac:dyDescent="0.2">
      <c r="A3398" s="27">
        <v>3396</v>
      </c>
      <c r="B3398" s="29" t="s">
        <v>1866</v>
      </c>
      <c r="C3398" s="29" t="str">
        <f ca="1">IFERROR(__xludf.DUMMYFUNCTION("GOOGLETRANSLATE(C6577,""en"",""hr"")"),"Set alata za izbacivanje")</f>
        <v>Set alata za izbacivanje</v>
      </c>
      <c r="D3398" s="28" t="s">
        <v>11</v>
      </c>
      <c r="E3398" s="29">
        <v>1</v>
      </c>
      <c r="F3398" s="17"/>
    </row>
    <row r="3399" spans="1:9" ht="25.5" customHeight="1" x14ac:dyDescent="0.2">
      <c r="A3399" s="27">
        <v>3397</v>
      </c>
      <c r="B3399" s="29" t="s">
        <v>1867</v>
      </c>
      <c r="C3399" s="29" t="str">
        <f ca="1">IFERROR(__xludf.DUMMYFUNCTION("GOOGLETRANSLATE(C6579,""en"",""hr"")"),"PCAN-Explorer 6 uklj. Dodaci")</f>
        <v>PCAN-Explorer 6 uklj. Dodaci</v>
      </c>
      <c r="D3399" s="28" t="s">
        <v>11</v>
      </c>
      <c r="E3399" s="29">
        <v>1</v>
      </c>
      <c r="F3399" s="17"/>
    </row>
    <row r="3400" spans="1:9" ht="25.5" customHeight="1" x14ac:dyDescent="0.2">
      <c r="A3400" s="27">
        <v>3398</v>
      </c>
      <c r="B3400" s="29" t="s">
        <v>1886</v>
      </c>
      <c r="C3400" s="29" t="str">
        <f ca="1">IFERROR(__xludf.DUMMYFUNCTION("GOOGLETRANSLATE(C6601,""en"",""hr"")"),"Alat za blokiranje radilice")</f>
        <v>Alat za blokiranje radilice</v>
      </c>
      <c r="D3400" s="28" t="s">
        <v>11</v>
      </c>
      <c r="E3400" s="29">
        <v>1</v>
      </c>
      <c r="F3400" s="17"/>
    </row>
    <row r="3401" spans="1:9" ht="25.5" customHeight="1" x14ac:dyDescent="0.2">
      <c r="A3401" s="27">
        <v>3399</v>
      </c>
      <c r="B3401" s="29" t="s">
        <v>1887</v>
      </c>
      <c r="C3401" s="29" t="str">
        <f ca="1">IFERROR(__xludf.DUMMYFUNCTION("GOOGLETRANSLATE(C6602,""en"",""hr"")"),"Ekstraktor kotača radilice")</f>
        <v>Ekstraktor kotača radilice</v>
      </c>
      <c r="D3401" s="28" t="s">
        <v>11</v>
      </c>
      <c r="E3401" s="29">
        <v>1</v>
      </c>
      <c r="F3401" s="17"/>
    </row>
    <row r="3402" spans="1:9" ht="25.5" customHeight="1" x14ac:dyDescent="0.2">
      <c r="A3402" s="27">
        <v>3400</v>
      </c>
      <c r="B3402" s="29" t="s">
        <v>1888</v>
      </c>
      <c r="C3402" s="29" t="str">
        <f ca="1">IFERROR(__xludf.DUMMYFUNCTION("GOOGLETRANSLATE(C6603,""en"",""hr"")"),"Alat za KW brtvu")</f>
        <v>Alat za KW brtvu</v>
      </c>
      <c r="D3402" s="28" t="s">
        <v>11</v>
      </c>
      <c r="E3402" s="29">
        <v>1</v>
      </c>
      <c r="F3402" s="17"/>
    </row>
    <row r="3403" spans="1:9" ht="25.5" customHeight="1" x14ac:dyDescent="0.2">
      <c r="A3403" s="27">
        <v>3401</v>
      </c>
      <c r="B3403" s="29" t="s">
        <v>1889</v>
      </c>
      <c r="C3403" s="29" t="str">
        <f ca="1">IFERROR(__xludf.DUMMYFUNCTION("GOOGLETRANSLATE(C6604,""en"",""hr"")"),"Alat za KW brtvu")</f>
        <v>Alat za KW brtvu</v>
      </c>
      <c r="D3403" s="28" t="s">
        <v>11</v>
      </c>
      <c r="E3403" s="29">
        <v>1</v>
      </c>
      <c r="F3403" s="17"/>
    </row>
    <row r="3404" spans="1:9" ht="25.5" customHeight="1" x14ac:dyDescent="0.2">
      <c r="A3404" s="27">
        <v>3402</v>
      </c>
      <c r="B3404" s="29" t="s">
        <v>1890</v>
      </c>
      <c r="C3404" s="29" t="str">
        <f ca="1">IFERROR(__xludf.DUMMYFUNCTION("GOOGLETRANSLATE(C6605,""en"",""hr"")"),"Adapter za ispitivanje tlaka kompresije")</f>
        <v>Adapter za ispitivanje tlaka kompresije</v>
      </c>
      <c r="D3404" s="28" t="s">
        <v>11</v>
      </c>
      <c r="E3404" s="29">
        <v>1</v>
      </c>
      <c r="F3404" s="17"/>
      <c r="I3404" s="4" t="b">
        <f>INT(F3402*100)=(F3402*100)</f>
        <v>1</v>
      </c>
    </row>
    <row r="3405" spans="1:9" ht="25.5" customHeight="1" x14ac:dyDescent="0.2">
      <c r="A3405" s="27">
        <v>3403</v>
      </c>
      <c r="B3405" s="29" t="s">
        <v>1891</v>
      </c>
      <c r="C3405" s="29" t="str">
        <f ca="1">IFERROR(__xludf.DUMMYFUNCTION("GOOGLETRANSLATE(C6606,""en"",""hr"")"),"Break Out Box")</f>
        <v>Break Out Box</v>
      </c>
      <c r="D3405" s="28" t="s">
        <v>11</v>
      </c>
      <c r="E3405" s="29">
        <v>1</v>
      </c>
      <c r="F3405" s="17"/>
    </row>
    <row r="3406" spans="1:9" ht="25.5" customHeight="1" x14ac:dyDescent="0.2">
      <c r="A3406" s="27">
        <v>3404</v>
      </c>
      <c r="B3406" s="29" t="s">
        <v>1892</v>
      </c>
      <c r="C3406" s="29" t="str">
        <f ca="1">IFERROR(__xludf.DUMMYFUNCTION("GOOGLETRANSLATE(C6607,""en"",""hr"")"),"Alat za postavljanje remena")</f>
        <v>Alat za postavljanje remena</v>
      </c>
      <c r="D3406" s="28" t="s">
        <v>11</v>
      </c>
      <c r="E3406" s="29">
        <v>1</v>
      </c>
      <c r="F3406" s="17"/>
    </row>
    <row r="3407" spans="1:9" ht="25.5" customHeight="1" x14ac:dyDescent="0.2">
      <c r="A3407" s="27">
        <v>3405</v>
      </c>
      <c r="B3407" s="29" t="s">
        <v>1873</v>
      </c>
      <c r="C3407" s="29" t="str">
        <f ca="1">IFERROR(__xludf.DUMMYFUNCTION("GOOGLETRANSLATE(C6587,""en"",""hr"")"),"Deutz servisni alat")</f>
        <v>Deutz servisni alat</v>
      </c>
      <c r="D3407" s="28" t="s">
        <v>11</v>
      </c>
      <c r="E3407" s="29">
        <v>1</v>
      </c>
      <c r="F3407" s="17"/>
      <c r="I3407" s="4" t="b">
        <f>INT(F3405*100)=(F3405*100)</f>
        <v>1</v>
      </c>
    </row>
    <row r="3408" spans="1:9" ht="25.5" customHeight="1" x14ac:dyDescent="0.2">
      <c r="A3408" s="27">
        <v>3406</v>
      </c>
      <c r="B3408" s="29" t="s">
        <v>1874</v>
      </c>
      <c r="C3408" s="29" t="str">
        <f ca="1">IFERROR(__xludf.DUMMYFUNCTION("GOOGLETRANSLATE(C6588,""en"",""hr"")"),"mjerač")</f>
        <v>mjerač</v>
      </c>
      <c r="D3408" s="28" t="s">
        <v>11</v>
      </c>
      <c r="E3408" s="29">
        <v>1</v>
      </c>
      <c r="F3408" s="17"/>
    </row>
    <row r="3409" spans="1:9" ht="25.5" customHeight="1" x14ac:dyDescent="0.2">
      <c r="A3409" s="27">
        <v>3407</v>
      </c>
      <c r="B3409" s="29" t="s">
        <v>1875</v>
      </c>
      <c r="C3409" s="29" t="str">
        <f ca="1">IFERROR(__xludf.DUMMYFUNCTION("GOOGLETRANSLATE(C6589,""en"",""hr"")"),"Kontradržač")</f>
        <v>Kontradržač</v>
      </c>
      <c r="D3409" s="28" t="s">
        <v>11</v>
      </c>
      <c r="E3409" s="29">
        <v>1</v>
      </c>
      <c r="F3409" s="17"/>
    </row>
    <row r="3410" spans="1:9" ht="25.5" customHeight="1" x14ac:dyDescent="0.2">
      <c r="A3410" s="27">
        <v>3408</v>
      </c>
      <c r="B3410" s="29" t="s">
        <v>1876</v>
      </c>
      <c r="C3410" s="29" t="str">
        <f ca="1">IFERROR(__xludf.DUMMYFUNCTION("GOOGLETRANSLATE(C6590,""en"",""hr"")"),"Alat za zaključavanje radilice")</f>
        <v>Alat za zaključavanje radilice</v>
      </c>
      <c r="D3410" s="28" t="s">
        <v>11</v>
      </c>
      <c r="E3410" s="29">
        <v>1</v>
      </c>
      <c r="F3410" s="17"/>
    </row>
    <row r="3411" spans="1:9" ht="25.5" customHeight="1" x14ac:dyDescent="0.2">
      <c r="A3411" s="27">
        <v>3409</v>
      </c>
      <c r="B3411" s="29" t="s">
        <v>1877</v>
      </c>
      <c r="C3411" s="29" t="str">
        <f ca="1">IFERROR(__xludf.DUMMYFUNCTION("GOOGLETRANSLATE(C6591,""en"",""hr"")"),"Ključ za grijače")</f>
        <v>Ključ za grijače</v>
      </c>
      <c r="D3411" s="28" t="s">
        <v>11</v>
      </c>
      <c r="E3411" s="29">
        <v>1</v>
      </c>
      <c r="F3411" s="17"/>
      <c r="I3411" s="4" t="b">
        <f>INT(F3409*100)=(F3409*100)</f>
        <v>1</v>
      </c>
    </row>
    <row r="3412" spans="1:9" ht="25.5" customHeight="1" x14ac:dyDescent="0.2">
      <c r="A3412" s="27">
        <v>3410</v>
      </c>
      <c r="B3412" s="29" t="s">
        <v>1878</v>
      </c>
      <c r="C3412" s="29" t="str">
        <f ca="1">IFERROR(__xludf.DUMMYFUNCTION("GOOGLETRANSLATE(C6592,""en"",""hr"")"),"Alat za odvajanje")</f>
        <v>Alat za odvajanje</v>
      </c>
      <c r="D3412" s="28" t="s">
        <v>11</v>
      </c>
      <c r="E3412" s="29">
        <v>1</v>
      </c>
      <c r="F3412" s="17"/>
    </row>
    <row r="3413" spans="1:9" ht="25.5" customHeight="1" x14ac:dyDescent="0.2">
      <c r="A3413" s="27">
        <v>3411</v>
      </c>
      <c r="B3413" s="29" t="s">
        <v>1879</v>
      </c>
      <c r="C3413" s="29" t="str">
        <f ca="1">IFERROR(__xludf.DUMMYFUNCTION("GOOGLETRANSLATE(C6593,""en"",""hr"")"),"Alat za KW brtvu")</f>
        <v>Alat za KW brtvu</v>
      </c>
      <c r="D3413" s="28" t="s">
        <v>11</v>
      </c>
      <c r="E3413" s="29">
        <v>1</v>
      </c>
      <c r="F3413" s="17"/>
    </row>
    <row r="3414" spans="1:9" ht="25.5" customHeight="1" x14ac:dyDescent="0.2">
      <c r="A3414" s="27">
        <v>3412</v>
      </c>
      <c r="B3414" s="29" t="s">
        <v>1880</v>
      </c>
      <c r="C3414" s="29" t="str">
        <f ca="1">IFERROR(__xludf.DUMMYFUNCTION("GOOGLETRANSLATE(C6594,""en"",""hr"")"),"Alat za KW brtvu")</f>
        <v>Alat za KW brtvu</v>
      </c>
      <c r="D3414" s="28" t="s">
        <v>11</v>
      </c>
      <c r="E3414" s="29">
        <v>1</v>
      </c>
      <c r="F3414" s="17"/>
    </row>
    <row r="3415" spans="1:9" ht="25.5" customHeight="1" x14ac:dyDescent="0.2">
      <c r="A3415" s="27">
        <v>3413</v>
      </c>
      <c r="B3415" s="29" t="s">
        <v>1881</v>
      </c>
      <c r="C3415" s="29" t="str">
        <f ca="1">IFERROR(__xludf.DUMMYFUNCTION("GOOGLETRANSLATE(C6595,""en"",""hr"")"),"Mehanizam za izvlačenje")</f>
        <v>Mehanizam za izvlačenje</v>
      </c>
      <c r="D3415" s="28" t="s">
        <v>11</v>
      </c>
      <c r="E3415" s="29">
        <v>1</v>
      </c>
      <c r="F3415" s="17"/>
    </row>
    <row r="3416" spans="1:9" ht="25.5" customHeight="1" x14ac:dyDescent="0.2">
      <c r="A3416" s="27">
        <v>3414</v>
      </c>
      <c r="B3416" s="29" t="s">
        <v>1882</v>
      </c>
      <c r="C3416" s="29" t="str">
        <f ca="1">IFERROR(__xludf.DUMMYFUNCTION("GOOGLETRANSLATE(C6596,""en"",""hr"")"),"Poluga za rastavljanje injektora")</f>
        <v>Poluga za rastavljanje injektora</v>
      </c>
      <c r="D3416" s="28" t="s">
        <v>11</v>
      </c>
      <c r="E3416" s="29">
        <v>1</v>
      </c>
      <c r="F3416" s="17"/>
    </row>
    <row r="3417" spans="1:9" ht="25.5" customHeight="1" x14ac:dyDescent="0.2">
      <c r="A3417" s="27">
        <v>3415</v>
      </c>
      <c r="B3417" s="29" t="s">
        <v>1883</v>
      </c>
      <c r="C3417" s="29" t="str">
        <f ca="1">IFERROR(__xludf.DUMMYFUNCTION("GOOGLETRANSLATE(C6597,""en"",""hr"")"),"Ključ za injekcijsku liniju")</f>
        <v>Ključ za injekcijsku liniju</v>
      </c>
      <c r="D3417" s="28" t="s">
        <v>11</v>
      </c>
      <c r="E3417" s="29">
        <v>1</v>
      </c>
      <c r="F3417" s="17"/>
    </row>
    <row r="3418" spans="1:9" ht="25.5" customHeight="1" x14ac:dyDescent="0.2">
      <c r="A3418" s="27">
        <v>3416</v>
      </c>
      <c r="B3418" s="29" t="s">
        <v>1884</v>
      </c>
      <c r="C3418" s="29" t="str">
        <f ca="1">IFERROR(__xludf.DUMMYFUNCTION("GOOGLETRANSLATE(C6598,""en"",""hr"")"),"Adapter za ispitivanje tlaka kompresije")</f>
        <v>Adapter za ispitivanje tlaka kompresije</v>
      </c>
      <c r="D3418" s="28" t="s">
        <v>11</v>
      </c>
      <c r="E3418" s="29">
        <v>1</v>
      </c>
      <c r="F3418" s="17"/>
    </row>
    <row r="3419" spans="1:9" ht="25.5" customHeight="1" x14ac:dyDescent="0.2">
      <c r="A3419" s="27">
        <v>3417</v>
      </c>
      <c r="B3419" s="29" t="s">
        <v>1869</v>
      </c>
      <c r="C3419" s="29" t="str">
        <f ca="1">IFERROR(__xludf.DUMMYFUNCTION("GOOGLETRANSLATE(C6582,""en"",""hr"")"),"Mjerni adapter")</f>
        <v>Mjerni adapter</v>
      </c>
      <c r="D3419" s="28" t="s">
        <v>11</v>
      </c>
      <c r="E3419" s="29">
        <v>1</v>
      </c>
      <c r="F3419" s="17"/>
    </row>
    <row r="3420" spans="1:9" ht="25.5" customHeight="1" x14ac:dyDescent="0.2">
      <c r="A3420" s="27">
        <v>3418</v>
      </c>
      <c r="B3420" s="29" t="s">
        <v>1870</v>
      </c>
      <c r="C3420" s="29" t="str">
        <f ca="1">IFERROR(__xludf.DUMMYFUNCTION("GOOGLETRANSLATE(C6583,""en"",""hr"")"),"Mjerač izolacije")</f>
        <v>Mjerač izolacije</v>
      </c>
      <c r="D3420" s="28" t="s">
        <v>11</v>
      </c>
      <c r="E3420" s="29">
        <v>1</v>
      </c>
      <c r="F3420" s="17"/>
    </row>
    <row r="3421" spans="1:9" ht="25.5" customHeight="1" x14ac:dyDescent="0.2">
      <c r="A3421" s="27">
        <v>3419</v>
      </c>
      <c r="B3421" s="29" t="s">
        <v>1872</v>
      </c>
      <c r="C3421" s="29" t="str">
        <f ca="1">IFERROR(__xludf.DUMMYFUNCTION("GOOGLETRANSLATE(C6585,""en"",""hr"")"),"Softver za dijagnostiku baterije")</f>
        <v>Softver za dijagnostiku baterije</v>
      </c>
      <c r="D3421" s="28" t="s">
        <v>11</v>
      </c>
      <c r="E3421" s="29">
        <v>1</v>
      </c>
      <c r="F3421" s="17"/>
    </row>
    <row r="3422" spans="1:9" ht="25.5" customHeight="1" x14ac:dyDescent="0.2">
      <c r="A3422" s="27">
        <v>3420</v>
      </c>
      <c r="B3422" s="29" t="s">
        <v>589</v>
      </c>
      <c r="C3422" s="29" t="str">
        <f ca="1">IFERROR(__xludf.DUMMYFUNCTION("GOOGLETRANSLATE(C1719,""en"",""hr"")"),"Podloška za zaključavanje")</f>
        <v>Podloška za zaključavanje</v>
      </c>
      <c r="D3422" s="28" t="s">
        <v>11</v>
      </c>
      <c r="E3422" s="29">
        <v>1</v>
      </c>
      <c r="F3422" s="17"/>
    </row>
    <row r="3423" spans="1:9" ht="25.5" customHeight="1" x14ac:dyDescent="0.2">
      <c r="A3423" s="27">
        <v>3421</v>
      </c>
      <c r="B3423" s="29" t="s">
        <v>169</v>
      </c>
      <c r="C3423" s="29" t="str">
        <f ca="1">IFERROR(__xludf.DUMMYFUNCTION("GOOGLETRANSLATE(C325,""en"",""hr"")"),"Podloška za zaključavanje")</f>
        <v>Podloška za zaključavanje</v>
      </c>
      <c r="D3423" s="28" t="s">
        <v>11</v>
      </c>
      <c r="E3423" s="29">
        <v>1</v>
      </c>
      <c r="F3423" s="17"/>
    </row>
    <row r="3424" spans="1:9" ht="25.5" customHeight="1" x14ac:dyDescent="0.2">
      <c r="A3424" s="27">
        <v>3422</v>
      </c>
      <c r="B3424" s="29" t="s">
        <v>547</v>
      </c>
      <c r="C3424" s="29" t="str">
        <f ca="1">IFERROR(__xludf.DUMMYFUNCTION("GOOGLETRANSLATE(C1463,""en"",""hr"")"),"Opružna podloška")</f>
        <v>Opružna podloška</v>
      </c>
      <c r="D3424" s="28" t="s">
        <v>11</v>
      </c>
      <c r="E3424" s="29">
        <v>1</v>
      </c>
      <c r="F3424" s="17"/>
    </row>
    <row r="3425" spans="1:9" ht="25.5" customHeight="1" x14ac:dyDescent="0.2">
      <c r="A3425" s="27">
        <v>3423</v>
      </c>
      <c r="B3425" s="29" t="s">
        <v>940</v>
      </c>
      <c r="C3425" s="29" t="str">
        <f ca="1">IFERROR(__xludf.DUMMYFUNCTION("GOOGLETRANSLATE(C2866,""en"",""hr"")"),"Podloška za zaključavanje")</f>
        <v>Podloška za zaključavanje</v>
      </c>
      <c r="D3425" s="28" t="s">
        <v>11</v>
      </c>
      <c r="E3425" s="29">
        <v>1</v>
      </c>
      <c r="F3425" s="17"/>
    </row>
    <row r="3426" spans="1:9" ht="25.5" customHeight="1" x14ac:dyDescent="0.2">
      <c r="A3426" s="27">
        <v>3424</v>
      </c>
      <c r="B3426" s="29" t="s">
        <v>276</v>
      </c>
      <c r="C3426" s="29" t="str">
        <f ca="1">IFERROR(__xludf.DUMMYFUNCTION("GOOGLETRANSLATE(C607,""en"",""hr"")"),"Podloška za zaključavanje")</f>
        <v>Podloška za zaključavanje</v>
      </c>
      <c r="D3426" s="28" t="s">
        <v>11</v>
      </c>
      <c r="E3426" s="29">
        <v>1</v>
      </c>
      <c r="F3426" s="17"/>
    </row>
    <row r="3427" spans="1:9" ht="25.5" customHeight="1" x14ac:dyDescent="0.2">
      <c r="A3427" s="27">
        <v>3425</v>
      </c>
      <c r="B3427" s="29" t="s">
        <v>1720</v>
      </c>
      <c r="C3427" s="29" t="str">
        <f ca="1">IFERROR(__xludf.DUMMYFUNCTION("GOOGLETRANSLATE(C5973,""en"",""hr"")"),"Podloška za zaključavanje")</f>
        <v>Podloška za zaključavanje</v>
      </c>
      <c r="D3427" s="28" t="s">
        <v>11</v>
      </c>
      <c r="E3427" s="29">
        <v>1</v>
      </c>
      <c r="F3427" s="17"/>
    </row>
    <row r="3428" spans="1:9" ht="25.5" customHeight="1" x14ac:dyDescent="0.2">
      <c r="A3428" s="27">
        <v>3426</v>
      </c>
      <c r="B3428" s="29" t="s">
        <v>399</v>
      </c>
      <c r="C3428" s="29" t="str">
        <f ca="1">IFERROR(__xludf.DUMMYFUNCTION("GOOGLETRANSLATE(C940,""en"",""hr"")"),"Podloška za zaključavanje")</f>
        <v>Podloška za zaključavanje</v>
      </c>
      <c r="D3428" s="28" t="s">
        <v>11</v>
      </c>
      <c r="E3428" s="29">
        <v>1</v>
      </c>
      <c r="F3428" s="17"/>
    </row>
    <row r="3429" spans="1:9" ht="25.5" customHeight="1" x14ac:dyDescent="0.2">
      <c r="A3429" s="27">
        <v>3427</v>
      </c>
      <c r="B3429" s="29" t="s">
        <v>782</v>
      </c>
      <c r="C3429" s="29" t="str">
        <f ca="1">IFERROR(__xludf.DUMMYFUNCTION("GOOGLETRANSLATE(C2412,""en"",""hr"")"),"Podloška za zaključavanje")</f>
        <v>Podloška za zaključavanje</v>
      </c>
      <c r="D3429" s="28" t="s">
        <v>11</v>
      </c>
      <c r="E3429" s="29">
        <v>1</v>
      </c>
      <c r="F3429" s="17"/>
    </row>
    <row r="3430" spans="1:9" ht="25.5" customHeight="1" x14ac:dyDescent="0.2">
      <c r="A3430" s="27">
        <v>3428</v>
      </c>
      <c r="B3430" s="29" t="s">
        <v>848</v>
      </c>
      <c r="C3430" s="29" t="str">
        <f ca="1">IFERROR(__xludf.DUMMYFUNCTION("GOOGLETRANSLATE(C2511,""en"",""hr"")"),"Podloška za zaključavanje")</f>
        <v>Podloška za zaključavanje</v>
      </c>
      <c r="D3430" s="28" t="s">
        <v>11</v>
      </c>
      <c r="E3430" s="29">
        <v>1</v>
      </c>
      <c r="F3430" s="17"/>
      <c r="I3430" s="4" t="b">
        <f>INT(F3428*100)=(F3428*100)</f>
        <v>1</v>
      </c>
    </row>
    <row r="3431" spans="1:9" ht="25.5" customHeight="1" x14ac:dyDescent="0.2">
      <c r="A3431" s="27">
        <v>3429</v>
      </c>
      <c r="B3431" s="29" t="s">
        <v>917</v>
      </c>
      <c r="C3431" s="29" t="str">
        <f ca="1">IFERROR(__xludf.DUMMYFUNCTION("GOOGLETRANSLATE(C2755,""en"",""hr"")"),"Podloška za zaključavanje")</f>
        <v>Podloška za zaključavanje</v>
      </c>
      <c r="D3431" s="28" t="s">
        <v>11</v>
      </c>
      <c r="E3431" s="29">
        <v>1</v>
      </c>
      <c r="F3431" s="17"/>
    </row>
    <row r="3432" spans="1:9" ht="25.5" customHeight="1" x14ac:dyDescent="0.2">
      <c r="A3432" s="27">
        <v>3430</v>
      </c>
      <c r="B3432" s="29" t="s">
        <v>932</v>
      </c>
      <c r="C3432" s="29" t="str">
        <f ca="1">IFERROR(__xludf.DUMMYFUNCTION("GOOGLETRANSLATE(C2840,""en"",""hr"")"),"Podloška za zaključavanje")</f>
        <v>Podloška za zaključavanje</v>
      </c>
      <c r="D3432" s="28" t="s">
        <v>11</v>
      </c>
      <c r="E3432" s="29">
        <v>1</v>
      </c>
      <c r="F3432" s="17"/>
    </row>
    <row r="3433" spans="1:9" ht="25.5" customHeight="1" x14ac:dyDescent="0.2">
      <c r="A3433" s="27">
        <v>3431</v>
      </c>
      <c r="B3433" s="29" t="s">
        <v>926</v>
      </c>
      <c r="C3433" s="29" t="str">
        <f ca="1">IFERROR(__xludf.DUMMYFUNCTION("GOOGLETRANSLATE(C2781,""en"",""hr"")"),"Konusna opružna podloška")</f>
        <v>Konusna opružna podloška</v>
      </c>
      <c r="D3433" s="28" t="s">
        <v>11</v>
      </c>
      <c r="E3433" s="29">
        <v>1</v>
      </c>
      <c r="F3433" s="17"/>
      <c r="I3433" s="4" t="b">
        <f>INT(F3431*100)=(F3431*100)</f>
        <v>1</v>
      </c>
    </row>
    <row r="3434" spans="1:9" ht="25.5" customHeight="1" x14ac:dyDescent="0.2">
      <c r="A3434" s="27">
        <v>3432</v>
      </c>
      <c r="B3434" s="29" t="s">
        <v>639</v>
      </c>
      <c r="C3434" s="29" t="str">
        <f ca="1">IFERROR(__xludf.DUMMYFUNCTION("GOOGLETRANSLATE(C1967,""en"",""hr"")"),"Zakretni zatik")</f>
        <v>Zakretni zatik</v>
      </c>
      <c r="D3434" s="28" t="s">
        <v>11</v>
      </c>
      <c r="E3434" s="29">
        <v>1</v>
      </c>
      <c r="F3434" s="17"/>
    </row>
    <row r="3435" spans="1:9" ht="25.5" customHeight="1" x14ac:dyDescent="0.2">
      <c r="A3435" s="27">
        <v>3433</v>
      </c>
      <c r="B3435" s="29" t="s">
        <v>2028</v>
      </c>
      <c r="C3435" s="29" t="str">
        <f ca="1">IFERROR(__xludf.DUMMYFUNCTION("GOOGLETRANSLATE(C6869,""en"",""hr"")"),"Retrofit Bucher Connect CityCat V20 / VS20 - baza")</f>
        <v>Retrofit Bucher Connect CityCat V20 / VS20 - baza</v>
      </c>
      <c r="D3435" s="28" t="s">
        <v>11</v>
      </c>
      <c r="E3435" s="29">
        <v>1</v>
      </c>
      <c r="F3435" s="17"/>
    </row>
    <row r="3436" spans="1:9" ht="25.5" customHeight="1" x14ac:dyDescent="0.2">
      <c r="A3436" s="27">
        <v>3434</v>
      </c>
      <c r="B3436" s="29" t="s">
        <v>1957</v>
      </c>
      <c r="C3436" s="29" t="str">
        <f ca="1">IFERROR(__xludf.DUMMYFUNCTION("GOOGLETRANSLATE(C6721,""en"",""hr"")"),"Ručni CityCat V20/VS20 (bugarski)")</f>
        <v>Ručni CityCat V20/VS20 (bugarski)</v>
      </c>
      <c r="D3436" s="28" t="s">
        <v>11</v>
      </c>
      <c r="E3436" s="29">
        <v>1</v>
      </c>
      <c r="F3436" s="17"/>
    </row>
    <row r="3437" spans="1:9" ht="25.5" customHeight="1" x14ac:dyDescent="0.2">
      <c r="A3437" s="27">
        <v>3435</v>
      </c>
      <c r="B3437" s="29" t="s">
        <v>1954</v>
      </c>
      <c r="C3437" s="29" t="str">
        <f ca="1">IFERROR(__xludf.DUMMYFUNCTION("GOOGLETRANSLATE(C6718,""en"",""hr"")"),"Ručni CityCat V20/VS20 (češki)")</f>
        <v>Ručni CityCat V20/VS20 (češki)</v>
      </c>
      <c r="D3437" s="28" t="s">
        <v>11</v>
      </c>
      <c r="E3437" s="29">
        <v>1</v>
      </c>
      <c r="F3437" s="17"/>
      <c r="I3437" s="4" t="b">
        <f>INT(F3435*100)=(F3435*100)</f>
        <v>1</v>
      </c>
    </row>
    <row r="3438" spans="1:9" ht="25.5" customHeight="1" x14ac:dyDescent="0.2">
      <c r="A3438" s="27">
        <v>3436</v>
      </c>
      <c r="B3438" s="29" t="s">
        <v>1940</v>
      </c>
      <c r="C3438" s="29" t="str">
        <f ca="1">IFERROR(__xludf.DUMMYFUNCTION("GOOGLETRANSLATE(C6704,""en"",""hr"")"),"Ručni CityCat V20/VS20 (danski)")</f>
        <v>Ručni CityCat V20/VS20 (danski)</v>
      </c>
      <c r="D3438" s="28" t="s">
        <v>11</v>
      </c>
      <c r="E3438" s="29">
        <v>1</v>
      </c>
      <c r="F3438" s="17"/>
    </row>
    <row r="3439" spans="1:9" ht="25.5" customHeight="1" x14ac:dyDescent="0.2">
      <c r="A3439" s="27">
        <v>3437</v>
      </c>
      <c r="B3439" s="29" t="s">
        <v>1926</v>
      </c>
      <c r="C3439" s="29" t="str">
        <f ca="1">IFERROR(__xludf.DUMMYFUNCTION("GOOGLETRANSLATE(C6690,""en"",""hr"")"),"Priručnik za uporabu njemački")</f>
        <v>Priručnik za uporabu njemački</v>
      </c>
      <c r="D3439" s="28" t="s">
        <v>11</v>
      </c>
      <c r="E3439" s="29">
        <v>1</v>
      </c>
      <c r="F3439" s="17"/>
    </row>
    <row r="3440" spans="1:9" ht="25.5" customHeight="1" x14ac:dyDescent="0.2">
      <c r="A3440" s="27">
        <v>3438</v>
      </c>
      <c r="B3440" s="29" t="s">
        <v>1958</v>
      </c>
      <c r="C3440" s="29" t="str">
        <f ca="1">IFERROR(__xludf.DUMMYFUNCTION("GOOGLETRANSLATE(C6722,""en"",""hr"")"),"Ručni CityCat V20/VS20 (grčki)")</f>
        <v>Ručni CityCat V20/VS20 (grčki)</v>
      </c>
      <c r="D3440" s="28" t="s">
        <v>11</v>
      </c>
      <c r="E3440" s="29">
        <v>1</v>
      </c>
      <c r="F3440" s="17"/>
    </row>
    <row r="3441" spans="1:9" ht="25.5" customHeight="1" x14ac:dyDescent="0.2">
      <c r="A3441" s="27">
        <v>3439</v>
      </c>
      <c r="B3441" s="29" t="s">
        <v>1928</v>
      </c>
      <c r="C3441" s="29" t="str">
        <f ca="1">IFERROR(__xludf.DUMMYFUNCTION("GOOGLETRANSLATE(C6692,""en"",""hr"")"),"Priručnik za rad na engleskom")</f>
        <v>Priručnik za rad na engleskom</v>
      </c>
      <c r="D3441" s="28" t="s">
        <v>11</v>
      </c>
      <c r="E3441" s="29">
        <v>1</v>
      </c>
      <c r="F3441" s="17"/>
    </row>
    <row r="3442" spans="1:9" ht="25.5" customHeight="1" x14ac:dyDescent="0.2">
      <c r="A3442" s="27">
        <v>3440</v>
      </c>
      <c r="B3442" s="29" t="s">
        <v>1936</v>
      </c>
      <c r="C3442" s="29" t="str">
        <f ca="1">IFERROR(__xludf.DUMMYFUNCTION("GOOGLETRANSLATE(C6700,""en"",""hr"")"),"Upute za uporabu španjolski")</f>
        <v>Upute za uporabu španjolski</v>
      </c>
      <c r="D3442" s="28" t="s">
        <v>11</v>
      </c>
      <c r="E3442" s="29">
        <v>1</v>
      </c>
      <c r="F3442" s="17"/>
    </row>
    <row r="3443" spans="1:9" ht="25.5" customHeight="1" x14ac:dyDescent="0.2">
      <c r="A3443" s="27">
        <v>3441</v>
      </c>
      <c r="B3443" s="29" t="s">
        <v>1942</v>
      </c>
      <c r="C3443" s="29" t="str">
        <f ca="1">IFERROR(__xludf.DUMMYFUNCTION("GOOGLETRANSLATE(C6706,""en"",""hr"")"),"Upute za uporabu finski")</f>
        <v>Upute za uporabu finski</v>
      </c>
      <c r="D3443" s="28" t="s">
        <v>11</v>
      </c>
      <c r="E3443" s="29">
        <v>1</v>
      </c>
      <c r="F3443" s="17"/>
    </row>
    <row r="3444" spans="1:9" ht="25.5" customHeight="1" x14ac:dyDescent="0.2">
      <c r="A3444" s="27">
        <v>3442</v>
      </c>
      <c r="B3444" s="29" t="s">
        <v>1932</v>
      </c>
      <c r="C3444" s="29" t="str">
        <f ca="1">IFERROR(__xludf.DUMMYFUNCTION("GOOGLETRANSLATE(C6696,""en"",""hr"")"),"Priručnik za uporabu francuski")</f>
        <v>Priručnik za uporabu francuski</v>
      </c>
      <c r="D3444" s="28" t="s">
        <v>11</v>
      </c>
      <c r="E3444" s="29">
        <v>1</v>
      </c>
      <c r="F3444" s="17"/>
    </row>
    <row r="3445" spans="1:9" ht="25.5" customHeight="1" x14ac:dyDescent="0.2">
      <c r="A3445" s="27">
        <v>3443</v>
      </c>
      <c r="B3445" s="29" t="s">
        <v>1956</v>
      </c>
      <c r="C3445" s="29" t="str">
        <f ca="1">IFERROR(__xludf.DUMMYFUNCTION("GOOGLETRANSLATE(C6720,""en"",""hr"")"),"Ručni CityCat V20/VS20 (hrvatski)")</f>
        <v>Ručni CityCat V20/VS20 (hrvatski)</v>
      </c>
      <c r="D3445" s="28" t="s">
        <v>11</v>
      </c>
      <c r="E3445" s="29">
        <v>1</v>
      </c>
      <c r="F3445" s="17"/>
    </row>
    <row r="3446" spans="1:9" ht="25.5" customHeight="1" x14ac:dyDescent="0.2">
      <c r="A3446" s="27">
        <v>3444</v>
      </c>
      <c r="B3446" s="29" t="s">
        <v>1934</v>
      </c>
      <c r="C3446" s="29" t="str">
        <f ca="1">IFERROR(__xludf.DUMMYFUNCTION("GOOGLETRANSLATE(C6698,""en"",""hr"")"),"Priručnik za uporabu na talijanskom")</f>
        <v>Priručnik za uporabu na talijanskom</v>
      </c>
      <c r="D3446" s="28" t="s">
        <v>11</v>
      </c>
      <c r="E3446" s="29">
        <v>1</v>
      </c>
      <c r="F3446" s="17"/>
    </row>
    <row r="3447" spans="1:9" ht="25.5" customHeight="1" x14ac:dyDescent="0.2">
      <c r="A3447" s="27">
        <v>3445</v>
      </c>
      <c r="B3447" s="29" t="s">
        <v>1962</v>
      </c>
      <c r="C3447" s="29" t="str">
        <f ca="1">IFERROR(__xludf.DUMMYFUNCTION("GOOGLETRANSLATE(C6726,""en"",""hr"")"),"Ručni CityCat V20/VS20 (latvijski)")</f>
        <v>Ručni CityCat V20/VS20 (latvijski)</v>
      </c>
      <c r="D3447" s="28" t="s">
        <v>11</v>
      </c>
      <c r="E3447" s="29">
        <v>1</v>
      </c>
      <c r="F3447" s="17"/>
    </row>
    <row r="3448" spans="1:9" ht="25.5" customHeight="1" x14ac:dyDescent="0.2">
      <c r="A3448" s="27">
        <v>3446</v>
      </c>
      <c r="B3448" s="29" t="s">
        <v>1944</v>
      </c>
      <c r="C3448" s="29" t="str">
        <f ca="1">IFERROR(__xludf.DUMMYFUNCTION("GOOGLETRANSLATE(C6708,""en"",""hr"")"),"Nizozemski priručnik za uporabu")</f>
        <v>Nizozemski priručnik za uporabu</v>
      </c>
      <c r="D3448" s="28" t="s">
        <v>11</v>
      </c>
      <c r="E3448" s="29">
        <v>1</v>
      </c>
      <c r="F3448" s="17"/>
    </row>
    <row r="3449" spans="1:9" ht="25.5" customHeight="1" x14ac:dyDescent="0.2">
      <c r="A3449" s="27">
        <v>3447</v>
      </c>
      <c r="B3449" s="29" t="s">
        <v>1946</v>
      </c>
      <c r="C3449" s="29" t="str">
        <f ca="1">IFERROR(__xludf.DUMMYFUNCTION("GOOGLETRANSLATE(C6710,""en"",""hr"")"),"Priručnik za rukovanje")</f>
        <v>Priručnik za rukovanje</v>
      </c>
      <c r="D3449" s="28" t="s">
        <v>11</v>
      </c>
      <c r="E3449" s="29">
        <v>1</v>
      </c>
      <c r="F3449" s="17"/>
    </row>
    <row r="3450" spans="1:9" ht="25.5" customHeight="1" x14ac:dyDescent="0.2">
      <c r="A3450" s="27">
        <v>3448</v>
      </c>
      <c r="B3450" s="29" t="s">
        <v>1950</v>
      </c>
      <c r="C3450" s="29" t="str">
        <f ca="1">IFERROR(__xludf.DUMMYFUNCTION("GOOGLETRANSLATE(C6714,""en"",""hr"")"),"Priručnik za uporabu portugalski")</f>
        <v>Priručnik za uporabu portugalski</v>
      </c>
      <c r="D3450" s="28" t="s">
        <v>11</v>
      </c>
      <c r="E3450" s="29">
        <v>1</v>
      </c>
      <c r="F3450" s="17"/>
    </row>
    <row r="3451" spans="1:9" ht="25.5" customHeight="1" x14ac:dyDescent="0.2">
      <c r="A3451" s="27">
        <v>3449</v>
      </c>
      <c r="B3451" s="29" t="s">
        <v>1959</v>
      </c>
      <c r="C3451" s="29" t="str">
        <f ca="1">IFERROR(__xludf.DUMMYFUNCTION("GOOGLETRANSLATE(C6723,""en"",""hr"")"),"Ručni CityCat V20/VS20 (rumunjski)")</f>
        <v>Ručni CityCat V20/VS20 (rumunjski)</v>
      </c>
      <c r="D3451" s="28" t="s">
        <v>11</v>
      </c>
      <c r="E3451" s="29">
        <v>1</v>
      </c>
      <c r="F3451" s="17"/>
    </row>
    <row r="3452" spans="1:9" ht="25.5" customHeight="1" x14ac:dyDescent="0.2">
      <c r="A3452" s="27">
        <v>3450</v>
      </c>
      <c r="B3452" s="29" t="s">
        <v>1948</v>
      </c>
      <c r="C3452" s="29" t="str">
        <f ca="1">IFERROR(__xludf.DUMMYFUNCTION("GOOGLETRANSLATE(C6712,""en"",""hr"")"),"Ručni CityCat V20/VS20 (ruski)")</f>
        <v>Ručni CityCat V20/VS20 (ruski)</v>
      </c>
      <c r="D3452" s="28" t="s">
        <v>11</v>
      </c>
      <c r="E3452" s="29">
        <v>1</v>
      </c>
      <c r="F3452" s="17"/>
    </row>
    <row r="3453" spans="1:9" ht="25.5" customHeight="1" x14ac:dyDescent="0.2">
      <c r="A3453" s="27">
        <v>3451</v>
      </c>
      <c r="B3453" s="29" t="s">
        <v>1960</v>
      </c>
      <c r="C3453" s="29" t="str">
        <f ca="1">IFERROR(__xludf.DUMMYFUNCTION("GOOGLETRANSLATE(C6724,""en"",""hr"")"),"Ručni CityCat V20/VS20 (slovenski)")</f>
        <v>Ručni CityCat V20/VS20 (slovenski)</v>
      </c>
      <c r="D3453" s="28" t="s">
        <v>11</v>
      </c>
      <c r="E3453" s="29">
        <v>1</v>
      </c>
      <c r="F3453" s="17"/>
    </row>
    <row r="3454" spans="1:9" ht="25.5" customHeight="1" x14ac:dyDescent="0.2">
      <c r="A3454" s="27">
        <v>3452</v>
      </c>
      <c r="B3454" s="29" t="s">
        <v>1952</v>
      </c>
      <c r="C3454" s="29" t="str">
        <f ca="1">IFERROR(__xludf.DUMMYFUNCTION("GOOGLETRANSLATE(C6716,""en"",""hr"")"),"Priručnik za uporabu švedski")</f>
        <v>Priručnik za uporabu švedski</v>
      </c>
      <c r="D3454" s="28" t="s">
        <v>11</v>
      </c>
      <c r="E3454" s="29">
        <v>1</v>
      </c>
      <c r="F3454" s="17"/>
    </row>
    <row r="3455" spans="1:9" ht="25.5" customHeight="1" x14ac:dyDescent="0.2">
      <c r="A3455" s="27">
        <v>3453</v>
      </c>
      <c r="B3455" s="29" t="s">
        <v>1963</v>
      </c>
      <c r="C3455" s="29" t="str">
        <f ca="1">IFERROR(__xludf.DUMMYFUNCTION("GOOGLETRANSLATE(C6727,""en"",""hr"")"),"Priručnik za rukovanje")</f>
        <v>Priručnik za rukovanje</v>
      </c>
      <c r="D3455" s="28" t="s">
        <v>11</v>
      </c>
      <c r="E3455" s="29">
        <v>1</v>
      </c>
      <c r="F3455" s="17"/>
      <c r="I3455" s="4" t="b">
        <f>INT(F3453*100)=(F3453*100)</f>
        <v>1</v>
      </c>
    </row>
    <row r="3456" spans="1:9" ht="25.5" customHeight="1" x14ac:dyDescent="0.2">
      <c r="A3456" s="27">
        <v>3454</v>
      </c>
      <c r="B3456" s="29" t="s">
        <v>1965</v>
      </c>
      <c r="C3456" s="29" t="str">
        <f ca="1">IFERROR(__xludf.DUMMYFUNCTION("GOOGLETRANSLATE(C6729,""en"",""hr"")"),"Ručni CityCat V20/VS20 (kineski)")</f>
        <v>Ručni CityCat V20/VS20 (kineski)</v>
      </c>
      <c r="D3456" s="28" t="s">
        <v>11</v>
      </c>
      <c r="E3456" s="29">
        <v>1</v>
      </c>
      <c r="F3456" s="17"/>
    </row>
    <row r="3457" spans="1:9" ht="25.5" customHeight="1" x14ac:dyDescent="0.2">
      <c r="A3457" s="27">
        <v>3455</v>
      </c>
      <c r="B3457" s="29" t="s">
        <v>1930</v>
      </c>
      <c r="C3457" s="29" t="str">
        <f ca="1">IFERROR(__xludf.DUMMYFUNCTION("GOOGLETRANSLATE(C6694,""en"",""hr"")"),"Priručnik za rad na engleskom")</f>
        <v>Priručnik za rad na engleskom</v>
      </c>
      <c r="D3457" s="28" t="s">
        <v>11</v>
      </c>
      <c r="E3457" s="29">
        <v>1</v>
      </c>
      <c r="F3457" s="17"/>
    </row>
    <row r="3458" spans="1:9" ht="25.5" customHeight="1" x14ac:dyDescent="0.2">
      <c r="A3458" s="27">
        <v>3456</v>
      </c>
      <c r="B3458" s="29" t="s">
        <v>1938</v>
      </c>
      <c r="C3458" s="29" t="str">
        <f ca="1">IFERROR(__xludf.DUMMYFUNCTION("GOOGLETRANSLATE(C6702,""en"",""hr"")"),"Upute za uporabu španjolski")</f>
        <v>Upute za uporabu španjolski</v>
      </c>
      <c r="D3458" s="28" t="s">
        <v>11</v>
      </c>
      <c r="E3458" s="29">
        <v>1</v>
      </c>
      <c r="F3458" s="17"/>
      <c r="I3458" s="4" t="b">
        <f>INT(F3456*100)=(F3456*100)</f>
        <v>1</v>
      </c>
    </row>
    <row r="3459" spans="1:9" ht="25.5" customHeight="1" x14ac:dyDescent="0.2">
      <c r="A3459" s="27">
        <v>3457</v>
      </c>
      <c r="B3459" s="29" t="s">
        <v>1953</v>
      </c>
      <c r="C3459" s="29" t="str">
        <f ca="1">IFERROR(__xludf.DUMMYFUNCTION("GOOGLETRANSLATE(C6717,""en"",""hr"")"),"Ručni CityCat V20e/VS20e (češki)")</f>
        <v>Ručni CityCat V20e/VS20e (češki)</v>
      </c>
      <c r="D3459" s="28" t="s">
        <v>11</v>
      </c>
      <c r="E3459" s="29">
        <v>1</v>
      </c>
      <c r="F3459" s="17"/>
    </row>
    <row r="3460" spans="1:9" ht="25.5" customHeight="1" x14ac:dyDescent="0.2">
      <c r="A3460" s="27">
        <v>3458</v>
      </c>
      <c r="B3460" s="29" t="s">
        <v>1939</v>
      </c>
      <c r="C3460" s="29" t="str">
        <f ca="1">IFERROR(__xludf.DUMMYFUNCTION("GOOGLETRANSLATE(C6703,""en"",""hr"")"),"Danski priručnik za uporabu")</f>
        <v>Danski priručnik za uporabu</v>
      </c>
      <c r="D3460" s="28" t="s">
        <v>11</v>
      </c>
      <c r="E3460" s="29">
        <v>1</v>
      </c>
      <c r="F3460" s="17"/>
    </row>
    <row r="3461" spans="1:9" ht="25.5" customHeight="1" x14ac:dyDescent="0.2">
      <c r="A3461" s="27">
        <v>3459</v>
      </c>
      <c r="B3461" s="29" t="s">
        <v>1925</v>
      </c>
      <c r="C3461" s="29" t="str">
        <f ca="1">IFERROR(__xludf.DUMMYFUNCTION("GOOGLETRANSLATE(C6689,""en"",""hr"")"),"Priručnik za uporabu njemački")</f>
        <v>Priručnik za uporabu njemački</v>
      </c>
      <c r="D3461" s="28" t="s">
        <v>11</v>
      </c>
      <c r="E3461" s="29">
        <v>1</v>
      </c>
      <c r="F3461" s="17"/>
    </row>
    <row r="3462" spans="1:9" ht="25.5" customHeight="1" x14ac:dyDescent="0.2">
      <c r="A3462" s="27">
        <v>3460</v>
      </c>
      <c r="B3462" s="29" t="s">
        <v>1927</v>
      </c>
      <c r="C3462" s="29" t="str">
        <f ca="1">IFERROR(__xludf.DUMMYFUNCTION("GOOGLETRANSLATE(C6691,""en"",""hr"")"),"Priručnik za rad na engleskom")</f>
        <v>Priručnik za rad na engleskom</v>
      </c>
      <c r="D3462" s="28" t="s">
        <v>11</v>
      </c>
      <c r="E3462" s="29">
        <v>1</v>
      </c>
      <c r="F3462" s="17"/>
      <c r="I3462" s="4" t="b">
        <f>INT(F3460*100)=(F3460*100)</f>
        <v>1</v>
      </c>
    </row>
    <row r="3463" spans="1:9" ht="25.5" customHeight="1" x14ac:dyDescent="0.2">
      <c r="A3463" s="27">
        <v>3461</v>
      </c>
      <c r="B3463" s="29" t="s">
        <v>1935</v>
      </c>
      <c r="C3463" s="29" t="str">
        <f ca="1">IFERROR(__xludf.DUMMYFUNCTION("GOOGLETRANSLATE(C6699,""en"",""hr"")"),"Upute za uporabu španjolski")</f>
        <v>Upute za uporabu španjolski</v>
      </c>
      <c r="D3463" s="28" t="s">
        <v>11</v>
      </c>
      <c r="E3463" s="29">
        <v>1</v>
      </c>
      <c r="F3463" s="17"/>
    </row>
    <row r="3464" spans="1:9" ht="25.5" customHeight="1" x14ac:dyDescent="0.2">
      <c r="A3464" s="27">
        <v>3462</v>
      </c>
      <c r="B3464" s="29" t="s">
        <v>1941</v>
      </c>
      <c r="C3464" s="29" t="str">
        <f ca="1">IFERROR(__xludf.DUMMYFUNCTION("GOOGLETRANSLATE(C6705,""en"",""hr"")"),"Upute za uporabu finski")</f>
        <v>Upute za uporabu finski</v>
      </c>
      <c r="D3464" s="28" t="s">
        <v>11</v>
      </c>
      <c r="E3464" s="29">
        <v>1</v>
      </c>
      <c r="F3464" s="17"/>
    </row>
    <row r="3465" spans="1:9" ht="25.5" customHeight="1" x14ac:dyDescent="0.2">
      <c r="A3465" s="27">
        <v>3463</v>
      </c>
      <c r="B3465" s="29" t="s">
        <v>1931</v>
      </c>
      <c r="C3465" s="29" t="str">
        <f ca="1">IFERROR(__xludf.DUMMYFUNCTION("GOOGLETRANSLATE(C6695,""en"",""hr"")"),"Priručnik za uporabu francuski")</f>
        <v>Priručnik za uporabu francuski</v>
      </c>
      <c r="D3465" s="28" t="s">
        <v>11</v>
      </c>
      <c r="E3465" s="29">
        <v>1</v>
      </c>
      <c r="F3465" s="17"/>
    </row>
    <row r="3466" spans="1:9" ht="25.5" customHeight="1" x14ac:dyDescent="0.2">
      <c r="A3466" s="27">
        <v>3464</v>
      </c>
      <c r="B3466" s="29" t="s">
        <v>1955</v>
      </c>
      <c r="C3466" s="29" t="str">
        <f ca="1">IFERROR(__xludf.DUMMYFUNCTION("GOOGLETRANSLATE(C6719,""en"",""hr"")"),"Ručni CityCat V20e/VS20e (hrvatski)")</f>
        <v>Ručni CityCat V20e/VS20e (hrvatski)</v>
      </c>
      <c r="D3466" s="28" t="s">
        <v>11</v>
      </c>
      <c r="E3466" s="29">
        <v>1</v>
      </c>
      <c r="F3466" s="17"/>
    </row>
    <row r="3467" spans="1:9" ht="25.5" customHeight="1" x14ac:dyDescent="0.2">
      <c r="A3467" s="27">
        <v>3465</v>
      </c>
      <c r="B3467" s="29" t="s">
        <v>1933</v>
      </c>
      <c r="C3467" s="29" t="str">
        <f ca="1">IFERROR(__xludf.DUMMYFUNCTION("GOOGLETRANSLATE(C6697,""en"",""hr"")"),"Priručnik za uporabu na talijanskom")</f>
        <v>Priručnik za uporabu na talijanskom</v>
      </c>
      <c r="D3467" s="28" t="s">
        <v>11</v>
      </c>
      <c r="E3467" s="29">
        <v>1</v>
      </c>
      <c r="F3467" s="17"/>
    </row>
    <row r="3468" spans="1:9" ht="25.5" customHeight="1" x14ac:dyDescent="0.2">
      <c r="A3468" s="27">
        <v>3466</v>
      </c>
      <c r="B3468" s="29" t="s">
        <v>1961</v>
      </c>
      <c r="C3468" s="29" t="str">
        <f ca="1">IFERROR(__xludf.DUMMYFUNCTION("GOOGLETRANSLATE(C6725,""en"",""hr"")"),"Ručni CityCat V20e/VS20e (litvanski)")</f>
        <v>Ručni CityCat V20e/VS20e (litvanski)</v>
      </c>
      <c r="D3468" s="28" t="s">
        <v>11</v>
      </c>
      <c r="E3468" s="29">
        <v>1</v>
      </c>
      <c r="F3468" s="17"/>
    </row>
    <row r="3469" spans="1:9" ht="25.5" customHeight="1" x14ac:dyDescent="0.2">
      <c r="A3469" s="27">
        <v>3467</v>
      </c>
      <c r="B3469" s="29" t="s">
        <v>1943</v>
      </c>
      <c r="C3469" s="29" t="str">
        <f ca="1">IFERROR(__xludf.DUMMYFUNCTION("GOOGLETRANSLATE(C6707,""en"",""hr"")"),"Nizozemski priručnik za uporabu")</f>
        <v>Nizozemski priručnik za uporabu</v>
      </c>
      <c r="D3469" s="28" t="s">
        <v>11</v>
      </c>
      <c r="E3469" s="29">
        <v>1</v>
      </c>
      <c r="F3469" s="17"/>
    </row>
    <row r="3470" spans="1:9" ht="25.5" customHeight="1" x14ac:dyDescent="0.2">
      <c r="A3470" s="27">
        <v>3468</v>
      </c>
      <c r="B3470" s="29" t="s">
        <v>1945</v>
      </c>
      <c r="C3470" s="29" t="str">
        <f ca="1">IFERROR(__xludf.DUMMYFUNCTION("GOOGLETRANSLATE(C6709,""en"",""hr"")"),"Norveški priručnik za rad")</f>
        <v>Norveški priručnik za rad</v>
      </c>
      <c r="D3470" s="28" t="s">
        <v>11</v>
      </c>
      <c r="E3470" s="29">
        <v>1</v>
      </c>
      <c r="F3470" s="17"/>
    </row>
    <row r="3471" spans="1:9" ht="25.5" customHeight="1" x14ac:dyDescent="0.2">
      <c r="A3471" s="27">
        <v>3469</v>
      </c>
      <c r="B3471" s="29" t="s">
        <v>1949</v>
      </c>
      <c r="C3471" s="29" t="str">
        <f ca="1">IFERROR(__xludf.DUMMYFUNCTION("GOOGLETRANSLATE(C6713,""en"",""hr"")"),"Ručni CityCat V20e/VS20e (portugalski)")</f>
        <v>Ručni CityCat V20e/VS20e (portugalski)</v>
      </c>
      <c r="D3471" s="28" t="s">
        <v>11</v>
      </c>
      <c r="E3471" s="29">
        <v>1</v>
      </c>
      <c r="F3471" s="17"/>
    </row>
    <row r="3472" spans="1:9" ht="25.5" customHeight="1" x14ac:dyDescent="0.2">
      <c r="A3472" s="27">
        <v>3470</v>
      </c>
      <c r="B3472" s="29" t="s">
        <v>1947</v>
      </c>
      <c r="C3472" s="29" t="str">
        <f ca="1">IFERROR(__xludf.DUMMYFUNCTION("GOOGLETRANSLATE(C6711,""en"",""hr"")"),"Ručni priručnik za uporabu")</f>
        <v>Ručni priručnik za uporabu</v>
      </c>
      <c r="D3472" s="28" t="s">
        <v>11</v>
      </c>
      <c r="E3472" s="29">
        <v>1</v>
      </c>
      <c r="F3472" s="17"/>
    </row>
    <row r="3473" spans="1:9" ht="25.5" customHeight="1" x14ac:dyDescent="0.2">
      <c r="A3473" s="27">
        <v>3471</v>
      </c>
      <c r="B3473" s="29" t="s">
        <v>1951</v>
      </c>
      <c r="C3473" s="29" t="str">
        <f ca="1">IFERROR(__xludf.DUMMYFUNCTION("GOOGLETRANSLATE(C6715,""en"",""hr"")"),"Priručnik za uporabu švedski")</f>
        <v>Priručnik za uporabu švedski</v>
      </c>
      <c r="D3473" s="28" t="s">
        <v>11</v>
      </c>
      <c r="E3473" s="29">
        <v>1</v>
      </c>
      <c r="F3473" s="17"/>
    </row>
    <row r="3474" spans="1:9" ht="25.5" customHeight="1" x14ac:dyDescent="0.2">
      <c r="A3474" s="27">
        <v>3472</v>
      </c>
      <c r="B3474" s="29" t="s">
        <v>1964</v>
      </c>
      <c r="C3474" s="29" t="str">
        <f ca="1">IFERROR(__xludf.DUMMYFUNCTION("GOOGLETRANSLATE(C6728,""en"",""hr"")"),"Ručni CityCat V20e/VS20e (kineski)")</f>
        <v>Ručni CityCat V20e/VS20e (kineski)</v>
      </c>
      <c r="D3474" s="28" t="s">
        <v>11</v>
      </c>
      <c r="E3474" s="29">
        <v>1</v>
      </c>
      <c r="F3474" s="17"/>
    </row>
    <row r="3475" spans="1:9" ht="25.5" customHeight="1" x14ac:dyDescent="0.2">
      <c r="A3475" s="27">
        <v>3473</v>
      </c>
      <c r="B3475" s="29" t="s">
        <v>1929</v>
      </c>
      <c r="C3475" s="29" t="str">
        <f ca="1">IFERROR(__xludf.DUMMYFUNCTION("GOOGLETRANSLATE(C6693,""en"",""hr"")"),"Priručnik za rad na engleskom")</f>
        <v>Priručnik za rad na engleskom</v>
      </c>
      <c r="D3475" s="28" t="s">
        <v>11</v>
      </c>
      <c r="E3475" s="29">
        <v>1</v>
      </c>
      <c r="F3475" s="17"/>
    </row>
    <row r="3476" spans="1:9" ht="25.5" customHeight="1" x14ac:dyDescent="0.2">
      <c r="A3476" s="27">
        <v>3474</v>
      </c>
      <c r="B3476" s="29" t="s">
        <v>1937</v>
      </c>
      <c r="C3476" s="29" t="str">
        <f ca="1">IFERROR(__xludf.DUMMYFUNCTION("GOOGLETRANSLATE(C6701,""en"",""hr"")"),"Upute za uporabu španjolski")</f>
        <v>Upute za uporabu španjolski</v>
      </c>
      <c r="D3476" s="28" t="s">
        <v>11</v>
      </c>
      <c r="E3476" s="29">
        <v>1</v>
      </c>
      <c r="F3476" s="17"/>
    </row>
    <row r="3477" spans="1:9" ht="25.5" customHeight="1" x14ac:dyDescent="0.2">
      <c r="A3477" s="27">
        <v>3475</v>
      </c>
      <c r="B3477" s="29" t="s">
        <v>1998</v>
      </c>
      <c r="C3477" s="29" t="str">
        <f ca="1">IFERROR(__xludf.DUMMYFUNCTION("GOOGLETRANSLATE(C6762,""en"",""hr"")"),"Ručni CityCat V20/VS20 Zima")</f>
        <v>Ručni CityCat V20/VS20 Zima</v>
      </c>
      <c r="D3477" s="28" t="s">
        <v>11</v>
      </c>
      <c r="E3477" s="29">
        <v>1</v>
      </c>
      <c r="F3477" s="17"/>
    </row>
    <row r="3478" spans="1:9" ht="25.5" customHeight="1" x14ac:dyDescent="0.2">
      <c r="A3478" s="27">
        <v>3476</v>
      </c>
      <c r="B3478" s="29" t="s">
        <v>1996</v>
      </c>
      <c r="C3478" s="29" t="str">
        <f ca="1">IFERROR(__xludf.DUMMYFUNCTION("GOOGLETRANSLATE(C6760,""en"",""hr"")"),"Ručni CityCat V20/VS20 Zima")</f>
        <v>Ručni CityCat V20/VS20 Zima</v>
      </c>
      <c r="D3478" s="28" t="s">
        <v>11</v>
      </c>
      <c r="E3478" s="29">
        <v>1</v>
      </c>
      <c r="F3478" s="17"/>
    </row>
    <row r="3479" spans="1:9" ht="25.5" customHeight="1" x14ac:dyDescent="0.2">
      <c r="A3479" s="27">
        <v>3477</v>
      </c>
      <c r="B3479" s="29" t="s">
        <v>1997</v>
      </c>
      <c r="C3479" s="29" t="str">
        <f ca="1">IFERROR(__xludf.DUMMYFUNCTION("GOOGLETRANSLATE(C6761,""en"",""hr"")"),"Ručni CityCat V20/VS20 Zima")</f>
        <v>Ručni CityCat V20/VS20 Zima</v>
      </c>
      <c r="D3479" s="28" t="s">
        <v>11</v>
      </c>
      <c r="E3479" s="29">
        <v>1</v>
      </c>
      <c r="F3479" s="17"/>
    </row>
    <row r="3480" spans="1:9" ht="25.5" customHeight="1" x14ac:dyDescent="0.2">
      <c r="A3480" s="27">
        <v>3478</v>
      </c>
      <c r="B3480" s="29" t="s">
        <v>1999</v>
      </c>
      <c r="C3480" s="29" t="str">
        <f ca="1">IFERROR(__xludf.DUMMYFUNCTION("GOOGLETRANSLATE(C6763,""en"",""hr"")"),"Ručni CityCat V20/VS20 Winter (latvijski)")</f>
        <v>Ručni CityCat V20/VS20 Winter (latvijski)</v>
      </c>
      <c r="D3480" s="28" t="s">
        <v>11</v>
      </c>
      <c r="E3480" s="29">
        <v>1</v>
      </c>
      <c r="F3480" s="17"/>
    </row>
    <row r="3481" spans="1:9" ht="25.5" customHeight="1" x14ac:dyDescent="0.2">
      <c r="A3481" s="27">
        <v>3479</v>
      </c>
      <c r="B3481" s="29" t="s">
        <v>1991</v>
      </c>
      <c r="C3481" s="29" t="str">
        <f ca="1">IFERROR(__xludf.DUMMYFUNCTION("GOOGLETRANSLATE(C6755,""en"",""hr"")"),"Katalog rezervnih dijelova")</f>
        <v>Katalog rezervnih dijelova</v>
      </c>
      <c r="D3481" s="28" t="s">
        <v>11</v>
      </c>
      <c r="E3481" s="29">
        <v>1</v>
      </c>
      <c r="F3481" s="17"/>
      <c r="I3481" s="4" t="b">
        <f>INT(F3479*100)=(F3479*100)</f>
        <v>1</v>
      </c>
    </row>
    <row r="3482" spans="1:9" ht="25.5" customHeight="1" x14ac:dyDescent="0.2">
      <c r="A3482" s="27">
        <v>3480</v>
      </c>
      <c r="B3482" s="29" t="s">
        <v>1992</v>
      </c>
      <c r="C3482" s="29" t="str">
        <f ca="1">IFERROR(__xludf.DUMMYFUNCTION("GOOGLETRANSLATE(C6756,""en"",""hr"")"),"Katalog rezervnih dijelova")</f>
        <v>Katalog rezervnih dijelova</v>
      </c>
      <c r="D3482" s="28" t="s">
        <v>11</v>
      </c>
      <c r="E3482" s="29">
        <v>1</v>
      </c>
      <c r="F3482" s="17"/>
    </row>
    <row r="3483" spans="1:9" ht="25.5" customHeight="1" x14ac:dyDescent="0.2">
      <c r="A3483" s="27">
        <v>3481</v>
      </c>
      <c r="B3483" s="29" t="s">
        <v>1995</v>
      </c>
      <c r="C3483" s="29" t="str">
        <f ca="1">IFERROR(__xludf.DUMMYFUNCTION("GOOGLETRANSLATE(C6759,""en"",""hr"")"),"Katalog rezervnih dijelova")</f>
        <v>Katalog rezervnih dijelova</v>
      </c>
      <c r="D3483" s="28" t="s">
        <v>11</v>
      </c>
      <c r="E3483" s="29">
        <v>1</v>
      </c>
      <c r="F3483" s="17"/>
    </row>
    <row r="3484" spans="1:9" ht="25.5" customHeight="1" x14ac:dyDescent="0.2">
      <c r="A3484" s="27">
        <v>3482</v>
      </c>
      <c r="B3484" s="29" t="s">
        <v>1993</v>
      </c>
      <c r="C3484" s="29" t="str">
        <f ca="1">IFERROR(__xludf.DUMMYFUNCTION("GOOGLETRANSLATE(C6757,""en"",""hr"")"),"Katalog rezervnih dijelova")</f>
        <v>Katalog rezervnih dijelova</v>
      </c>
      <c r="D3484" s="28" t="s">
        <v>11</v>
      </c>
      <c r="E3484" s="29">
        <v>1</v>
      </c>
      <c r="F3484" s="17"/>
      <c r="I3484" s="4" t="b">
        <f>INT(F3482*100)=(F3482*100)</f>
        <v>1</v>
      </c>
    </row>
    <row r="3485" spans="1:9" ht="25.5" customHeight="1" x14ac:dyDescent="0.2">
      <c r="A3485" s="27">
        <v>3483</v>
      </c>
      <c r="B3485" s="29" t="s">
        <v>1994</v>
      </c>
      <c r="C3485" s="29" t="str">
        <f ca="1">IFERROR(__xludf.DUMMYFUNCTION("GOOGLETRANSLATE(C6758,""en"",""hr"")"),"Katalog rezervnih dijelova")</f>
        <v>Katalog rezervnih dijelova</v>
      </c>
      <c r="D3485" s="28" t="s">
        <v>11</v>
      </c>
      <c r="E3485" s="29">
        <v>1</v>
      </c>
      <c r="F3485" s="17"/>
    </row>
    <row r="3486" spans="1:9" ht="25.5" customHeight="1" x14ac:dyDescent="0.2">
      <c r="A3486" s="27">
        <v>3484</v>
      </c>
      <c r="B3486" s="29" t="s">
        <v>1976</v>
      </c>
      <c r="C3486" s="29" t="str">
        <f ca="1">IFERROR(__xludf.DUMMYFUNCTION("GOOGLETRANSLATE(C6740,""en"",""hr"")"),"Podaci o spašavanju danski")</f>
        <v>Podaci o spašavanju danski</v>
      </c>
      <c r="D3486" s="28" t="s">
        <v>11</v>
      </c>
      <c r="E3486" s="29">
        <v>1</v>
      </c>
      <c r="F3486" s="17"/>
    </row>
    <row r="3487" spans="1:9" ht="25.5" customHeight="1" x14ac:dyDescent="0.2">
      <c r="A3487" s="27">
        <v>3485</v>
      </c>
      <c r="B3487" s="29" t="s">
        <v>1966</v>
      </c>
      <c r="C3487" s="29" t="str">
        <f ca="1">IFERROR(__xludf.DUMMYFUNCTION("GOOGLETRANSLATE(C6730,""en"",""hr"")"),"Podaci o spašavanju engleski")</f>
        <v>Podaci o spašavanju engleski</v>
      </c>
      <c r="D3487" s="28" t="s">
        <v>11</v>
      </c>
      <c r="E3487" s="29">
        <v>1</v>
      </c>
      <c r="F3487" s="17"/>
    </row>
    <row r="3488" spans="1:9" ht="25.5" customHeight="1" x14ac:dyDescent="0.2">
      <c r="A3488" s="27">
        <v>3486</v>
      </c>
      <c r="B3488" s="29" t="s">
        <v>1968</v>
      </c>
      <c r="C3488" s="29" t="str">
        <f ca="1">IFERROR(__xludf.DUMMYFUNCTION("GOOGLETRANSLATE(C6732,""en"",""hr"")"),"Tehnički list spašavanja engleski")</f>
        <v>Tehnički list spašavanja engleski</v>
      </c>
      <c r="D3488" s="28" t="s">
        <v>11</v>
      </c>
      <c r="E3488" s="29">
        <v>1</v>
      </c>
      <c r="F3488" s="17"/>
      <c r="I3488" s="4" t="b">
        <f>INT(F3486*100)=(F3486*100)</f>
        <v>1</v>
      </c>
    </row>
    <row r="3489" spans="1:6" ht="25.5" customHeight="1" x14ac:dyDescent="0.2">
      <c r="A3489" s="27">
        <v>3487</v>
      </c>
      <c r="B3489" s="29" t="s">
        <v>1974</v>
      </c>
      <c r="C3489" s="29" t="str">
        <f ca="1">IFERROR(__xludf.DUMMYFUNCTION("GOOGLETRANSLATE(C6738,""en"",""hr"")"),"Spasilački tehnički list na španjolskom")</f>
        <v>Spasilački tehnički list na španjolskom</v>
      </c>
      <c r="D3489" s="28" t="s">
        <v>11</v>
      </c>
      <c r="E3489" s="29">
        <v>1</v>
      </c>
      <c r="F3489" s="17"/>
    </row>
    <row r="3490" spans="1:6" ht="25.5" customHeight="1" x14ac:dyDescent="0.2">
      <c r="A3490" s="27">
        <v>3488</v>
      </c>
      <c r="B3490" s="29" t="s">
        <v>1978</v>
      </c>
      <c r="C3490" s="29" t="str">
        <f ca="1">IFERROR(__xludf.DUMMYFUNCTION("GOOGLETRANSLATE(C6742,""en"",""hr"")"),"Finski list s podacima o spašavanju")</f>
        <v>Finski list s podacima o spašavanju</v>
      </c>
      <c r="D3490" s="28" t="s">
        <v>11</v>
      </c>
      <c r="E3490" s="29">
        <v>1</v>
      </c>
      <c r="F3490" s="17"/>
    </row>
    <row r="3491" spans="1:6" ht="25.5" customHeight="1" x14ac:dyDescent="0.2">
      <c r="A3491" s="27">
        <v>3489</v>
      </c>
      <c r="B3491" s="29" t="s">
        <v>1970</v>
      </c>
      <c r="C3491" s="29" t="str">
        <f ca="1">IFERROR(__xludf.DUMMYFUNCTION("GOOGLETRANSLATE(C6734,""en"",""hr"")"),"Tehnički list spašavanja na francuskom")</f>
        <v>Tehnički list spašavanja na francuskom</v>
      </c>
      <c r="D3491" s="28" t="s">
        <v>11</v>
      </c>
      <c r="E3491" s="29">
        <v>1</v>
      </c>
      <c r="F3491" s="17"/>
    </row>
    <row r="3492" spans="1:6" ht="25.5" customHeight="1" x14ac:dyDescent="0.2">
      <c r="A3492" s="27">
        <v>3490</v>
      </c>
      <c r="B3492" s="29" t="s">
        <v>1972</v>
      </c>
      <c r="C3492" s="29" t="str">
        <f ca="1">IFERROR(__xludf.DUMMYFUNCTION("GOOGLETRANSLATE(C6736,""en"",""hr"")"),"Tehnički list spašavanja na talijanskom")</f>
        <v>Tehnički list spašavanja na talijanskom</v>
      </c>
      <c r="D3492" s="28" t="s">
        <v>11</v>
      </c>
      <c r="E3492" s="29">
        <v>1</v>
      </c>
      <c r="F3492" s="17"/>
    </row>
    <row r="3493" spans="1:6" ht="25.5" customHeight="1" x14ac:dyDescent="0.2">
      <c r="A3493" s="27">
        <v>3491</v>
      </c>
      <c r="B3493" s="29" t="s">
        <v>1984</v>
      </c>
      <c r="C3493" s="29" t="str">
        <f ca="1">IFERROR(__xludf.DUMMYFUNCTION("GOOGLETRANSLATE(C6748,""en"",""hr"")"),"List s podacima o spašavanju CCV20e")</f>
        <v>List s podacima o spašavanju CCV20e</v>
      </c>
      <c r="D3493" s="28" t="s">
        <v>11</v>
      </c>
      <c r="E3493" s="29">
        <v>1</v>
      </c>
      <c r="F3493" s="17"/>
    </row>
    <row r="3494" spans="1:6" ht="25.5" customHeight="1" x14ac:dyDescent="0.2">
      <c r="A3494" s="27">
        <v>3492</v>
      </c>
      <c r="B3494" s="29" t="s">
        <v>1980</v>
      </c>
      <c r="C3494" s="29" t="str">
        <f ca="1">IFERROR(__xludf.DUMMYFUNCTION("GOOGLETRANSLATE(C6744,""en"",""hr"")"),"Nizozemski list s podacima o spašavanju")</f>
        <v>Nizozemski list s podacima o spašavanju</v>
      </c>
      <c r="D3494" s="28" t="s">
        <v>11</v>
      </c>
      <c r="E3494" s="29">
        <v>1</v>
      </c>
      <c r="F3494" s="17"/>
    </row>
    <row r="3495" spans="1:6" ht="25.5" customHeight="1" x14ac:dyDescent="0.2">
      <c r="A3495" s="27">
        <v>3493</v>
      </c>
      <c r="B3495" s="29" t="s">
        <v>1982</v>
      </c>
      <c r="C3495" s="29" t="str">
        <f ca="1">IFERROR(__xludf.DUMMYFUNCTION("GOOGLETRANSLATE(C6746,""en"",""hr"")"),"Norveški list s podacima o spašavanju")</f>
        <v>Norveški list s podacima o spašavanju</v>
      </c>
      <c r="D3495" s="28" t="s">
        <v>11</v>
      </c>
      <c r="E3495" s="29">
        <v>1</v>
      </c>
      <c r="F3495" s="17"/>
    </row>
    <row r="3496" spans="1:6" ht="25.5" customHeight="1" x14ac:dyDescent="0.2">
      <c r="A3496" s="27">
        <v>3494</v>
      </c>
      <c r="B3496" s="29" t="s">
        <v>1986</v>
      </c>
      <c r="C3496" s="29" t="str">
        <f ca="1">IFERROR(__xludf.DUMMYFUNCTION("GOOGLETRANSLATE(C6750,""en"",""hr"")"),"Rescue tehnički list ruski")</f>
        <v>Rescue tehnički list ruski</v>
      </c>
      <c r="D3496" s="28" t="s">
        <v>11</v>
      </c>
      <c r="E3496" s="29">
        <v>1</v>
      </c>
      <c r="F3496" s="17"/>
    </row>
    <row r="3497" spans="1:6" ht="25.5" customHeight="1" x14ac:dyDescent="0.2">
      <c r="A3497" s="27">
        <v>3495</v>
      </c>
      <c r="B3497" s="29" t="s">
        <v>1988</v>
      </c>
      <c r="C3497" s="29" t="str">
        <f ca="1">IFERROR(__xludf.DUMMYFUNCTION("GOOGLETRANSLATE(C6752,""en"",""hr"")"),"Tehnički list spašavanja na švedskom")</f>
        <v>Tehnički list spašavanja na švedskom</v>
      </c>
      <c r="D3497" s="28" t="s">
        <v>11</v>
      </c>
      <c r="E3497" s="29">
        <v>1</v>
      </c>
      <c r="F3497" s="17"/>
    </row>
    <row r="3498" spans="1:6" ht="25.5" customHeight="1" x14ac:dyDescent="0.2">
      <c r="A3498" s="27">
        <v>3496</v>
      </c>
      <c r="B3498" s="29" t="s">
        <v>1977</v>
      </c>
      <c r="C3498" s="29" t="str">
        <f ca="1">IFERROR(__xludf.DUMMYFUNCTION("GOOGLETRANSLATE(C6741,""en"",""hr"")"),"List s podacima o spašavanju V20e/VS20e")</f>
        <v>List s podacima o spašavanju V20e/VS20e</v>
      </c>
      <c r="D3498" s="28" t="s">
        <v>11</v>
      </c>
      <c r="E3498" s="29">
        <v>1</v>
      </c>
      <c r="F3498" s="17"/>
    </row>
    <row r="3499" spans="1:6" ht="25.5" customHeight="1" x14ac:dyDescent="0.2">
      <c r="A3499" s="27">
        <v>3497</v>
      </c>
      <c r="B3499" s="29" t="s">
        <v>1967</v>
      </c>
      <c r="C3499" s="29" t="str">
        <f ca="1">IFERROR(__xludf.DUMMYFUNCTION("GOOGLETRANSLATE(C6731,""en"",""hr"")"),"List s podacima o spašavanju V20e/VS20e")</f>
        <v>List s podacima o spašavanju V20e/VS20e</v>
      </c>
      <c r="D3499" s="28" t="s">
        <v>11</v>
      </c>
      <c r="E3499" s="29">
        <v>1</v>
      </c>
      <c r="F3499" s="17"/>
    </row>
    <row r="3500" spans="1:6" ht="25.5" customHeight="1" x14ac:dyDescent="0.2">
      <c r="A3500" s="27">
        <v>3498</v>
      </c>
      <c r="B3500" s="29" t="s">
        <v>1969</v>
      </c>
      <c r="C3500" s="29" t="str">
        <f ca="1">IFERROR(__xludf.DUMMYFUNCTION("GOOGLETRANSLATE(C6733,""en"",""hr"")"),"List s podacima o spašavanju V20e/VS20e")</f>
        <v>List s podacima o spašavanju V20e/VS20e</v>
      </c>
      <c r="D3500" s="28" t="s">
        <v>11</v>
      </c>
      <c r="E3500" s="29">
        <v>1</v>
      </c>
      <c r="F3500" s="17"/>
    </row>
    <row r="3501" spans="1:6" ht="25.5" customHeight="1" x14ac:dyDescent="0.2">
      <c r="A3501" s="27">
        <v>3499</v>
      </c>
      <c r="B3501" s="29" t="s">
        <v>1975</v>
      </c>
      <c r="C3501" s="29" t="str">
        <f ca="1">IFERROR(__xludf.DUMMYFUNCTION("GOOGLETRANSLATE(C6739,""en"",""hr"")"),"List s podacima o spašavanju V20e/VS20e")</f>
        <v>List s podacima o spašavanju V20e/VS20e</v>
      </c>
      <c r="D3501" s="28" t="s">
        <v>11</v>
      </c>
      <c r="E3501" s="29">
        <v>1</v>
      </c>
      <c r="F3501" s="17"/>
    </row>
    <row r="3502" spans="1:6" ht="25.5" customHeight="1" x14ac:dyDescent="0.2">
      <c r="A3502" s="27">
        <v>3500</v>
      </c>
      <c r="B3502" s="29" t="s">
        <v>1979</v>
      </c>
      <c r="C3502" s="29" t="str">
        <f ca="1">IFERROR(__xludf.DUMMYFUNCTION("GOOGLETRANSLATE(C6743,""en"",""hr"")"),"List s podacima o spašavanju V20e/VS20e")</f>
        <v>List s podacima o spašavanju V20e/VS20e</v>
      </c>
      <c r="D3502" s="28" t="s">
        <v>11</v>
      </c>
      <c r="E3502" s="29">
        <v>1</v>
      </c>
      <c r="F3502" s="17"/>
    </row>
    <row r="3503" spans="1:6" ht="25.5" customHeight="1" x14ac:dyDescent="0.2">
      <c r="A3503" s="27">
        <v>3501</v>
      </c>
      <c r="B3503" s="29" t="s">
        <v>1971</v>
      </c>
      <c r="C3503" s="29" t="str">
        <f ca="1">IFERROR(__xludf.DUMMYFUNCTION("GOOGLETRANSLATE(C6735,""en"",""hr"")"),"List s podacima o spašavanju V20e/VS20e")</f>
        <v>List s podacima o spašavanju V20e/VS20e</v>
      </c>
      <c r="D3503" s="28" t="s">
        <v>11</v>
      </c>
      <c r="E3503" s="29">
        <v>1</v>
      </c>
      <c r="F3503" s="17"/>
    </row>
    <row r="3504" spans="1:6" ht="25.5" customHeight="1" x14ac:dyDescent="0.2">
      <c r="A3504" s="27">
        <v>3502</v>
      </c>
      <c r="B3504" s="29" t="s">
        <v>1973</v>
      </c>
      <c r="C3504" s="29" t="str">
        <f ca="1">IFERROR(__xludf.DUMMYFUNCTION("GOOGLETRANSLATE(C6737,""en"",""hr"")"),"List s podacima o spašavanju V20e/VS20e")</f>
        <v>List s podacima o spašavanju V20e/VS20e</v>
      </c>
      <c r="D3504" s="28" t="s">
        <v>11</v>
      </c>
      <c r="E3504" s="29">
        <v>1</v>
      </c>
      <c r="F3504" s="17"/>
    </row>
    <row r="3505" spans="1:9" ht="25.5" customHeight="1" x14ac:dyDescent="0.2">
      <c r="A3505" s="27">
        <v>3503</v>
      </c>
      <c r="B3505" s="29" t="s">
        <v>1985</v>
      </c>
      <c r="C3505" s="29" t="str">
        <f ca="1">IFERROR(__xludf.DUMMYFUNCTION("GOOGLETRANSLATE(C6749,""en"",""hr"")"),"List s podacima o spašavanju V20e/VS20e")</f>
        <v>List s podacima o spašavanju V20e/VS20e</v>
      </c>
      <c r="D3505" s="28" t="s">
        <v>11</v>
      </c>
      <c r="E3505" s="29">
        <v>1</v>
      </c>
      <c r="F3505" s="17"/>
    </row>
    <row r="3506" spans="1:9" ht="25.5" customHeight="1" x14ac:dyDescent="0.2">
      <c r="A3506" s="27">
        <v>3504</v>
      </c>
      <c r="B3506" s="29" t="s">
        <v>1981</v>
      </c>
      <c r="C3506" s="29" t="str">
        <f ca="1">IFERROR(__xludf.DUMMYFUNCTION("GOOGLETRANSLATE(C6745,""en"",""hr"")"),"List s podacima o spašavanju V20e/VS20e")</f>
        <v>List s podacima o spašavanju V20e/VS20e</v>
      </c>
      <c r="D3506" s="28" t="s">
        <v>11</v>
      </c>
      <c r="E3506" s="29">
        <v>1</v>
      </c>
      <c r="F3506" s="17"/>
      <c r="I3506" s="4" t="b">
        <f>INT(F3504*100)=(F3504*100)</f>
        <v>1</v>
      </c>
    </row>
    <row r="3507" spans="1:9" ht="25.5" customHeight="1" x14ac:dyDescent="0.2">
      <c r="A3507" s="27">
        <v>3505</v>
      </c>
      <c r="B3507" s="29" t="s">
        <v>1983</v>
      </c>
      <c r="C3507" s="29" t="str">
        <f ca="1">IFERROR(__xludf.DUMMYFUNCTION("GOOGLETRANSLATE(C6747,""en"",""hr"")"),"List s podacima o spašavanju V20e/VS20e")</f>
        <v>List s podacima o spašavanju V20e/VS20e</v>
      </c>
      <c r="D3507" s="28" t="s">
        <v>11</v>
      </c>
      <c r="E3507" s="29">
        <v>1</v>
      </c>
      <c r="F3507" s="17"/>
    </row>
    <row r="3508" spans="1:9" ht="25.5" customHeight="1" x14ac:dyDescent="0.2">
      <c r="A3508" s="27">
        <v>3506</v>
      </c>
      <c r="B3508" s="29" t="s">
        <v>1990</v>
      </c>
      <c r="C3508" s="29" t="str">
        <f ca="1">IFERROR(__xludf.DUMMYFUNCTION("GOOGLETRANSLATE(C6754,""en"",""hr"")"),"List s podacima o spašavanju V20e/VS20e")</f>
        <v>List s podacima o spašavanju V20e/VS20e</v>
      </c>
      <c r="D3508" s="28" t="s">
        <v>11</v>
      </c>
      <c r="E3508" s="29">
        <v>1</v>
      </c>
      <c r="F3508" s="17"/>
    </row>
    <row r="3509" spans="1:9" ht="25.5" customHeight="1" x14ac:dyDescent="0.2">
      <c r="A3509" s="27">
        <v>3507</v>
      </c>
      <c r="B3509" s="29" t="s">
        <v>1987</v>
      </c>
      <c r="C3509" s="29" t="str">
        <f ca="1">IFERROR(__xludf.DUMMYFUNCTION("GOOGLETRANSLATE(C6751,""en"",""hr"")"),"List s podacima o spašavanju V20e/VS20e")</f>
        <v>List s podacima o spašavanju V20e/VS20e</v>
      </c>
      <c r="D3509" s="28" t="s">
        <v>11</v>
      </c>
      <c r="E3509" s="29">
        <v>1</v>
      </c>
      <c r="F3509" s="17"/>
      <c r="I3509" s="4" t="b">
        <f>INT(F3507*100)=(F3507*100)</f>
        <v>1</v>
      </c>
    </row>
    <row r="3510" spans="1:9" ht="25.5" customHeight="1" x14ac:dyDescent="0.2">
      <c r="A3510" s="27">
        <v>3508</v>
      </c>
      <c r="B3510" s="29" t="s">
        <v>1989</v>
      </c>
      <c r="C3510" s="29" t="str">
        <f ca="1">IFERROR(__xludf.DUMMYFUNCTION("GOOGLETRANSLATE(C6753,""en"",""hr"")"),"List s podacima o spašavanju V20e/VS20e")</f>
        <v>List s podacima o spašavanju V20e/VS20e</v>
      </c>
      <c r="D3510" s="28" t="s">
        <v>11</v>
      </c>
      <c r="E3510" s="29">
        <v>1</v>
      </c>
      <c r="F3510" s="17"/>
    </row>
    <row r="3511" spans="1:9" ht="25.5" customHeight="1" x14ac:dyDescent="0.2">
      <c r="A3511" s="27">
        <v>3509</v>
      </c>
      <c r="B3511" s="29" t="s">
        <v>78</v>
      </c>
      <c r="C3511" s="29" t="str">
        <f ca="1">IFERROR(__xludf.DUMMYFUNCTION("GOOGLETRANSLATE(C191,""en"",""hr"")"),"brtva")</f>
        <v>brtva</v>
      </c>
      <c r="D3511" s="28" t="s">
        <v>11</v>
      </c>
      <c r="E3511" s="29">
        <v>1</v>
      </c>
      <c r="F3511" s="17"/>
    </row>
    <row r="3512" spans="1:9" ht="25.5" customHeight="1" x14ac:dyDescent="0.2">
      <c r="A3512" s="27">
        <v>3510</v>
      </c>
      <c r="B3512" s="29" t="s">
        <v>80</v>
      </c>
      <c r="C3512" s="29" t="str">
        <f ca="1">IFERROR(__xludf.DUMMYFUNCTION("GOOGLETRANSLATE(C193,""en"",""hr"")"),"Uložak filtera ulja")</f>
        <v>Uložak filtera ulja</v>
      </c>
      <c r="D3512" s="28" t="s">
        <v>11</v>
      </c>
      <c r="E3512" s="29">
        <v>1</v>
      </c>
      <c r="F3512" s="17"/>
    </row>
    <row r="3513" spans="1:9" ht="25.5" customHeight="1" x14ac:dyDescent="0.2">
      <c r="A3513" s="27">
        <v>3511</v>
      </c>
      <c r="B3513" s="29" t="s">
        <v>113</v>
      </c>
      <c r="C3513" s="29" t="str">
        <f ca="1">IFERROR(__xludf.DUMMYFUNCTION("GOOGLETRANSLATE(C231,""en"",""hr"")"),"Čep za punjenje")</f>
        <v>Čep za punjenje</v>
      </c>
      <c r="D3513" s="28" t="s">
        <v>11</v>
      </c>
      <c r="E3513" s="29">
        <v>1</v>
      </c>
      <c r="F3513" s="17"/>
      <c r="I3513" s="4" t="b">
        <f>INT(F3511*100)=(F3511*100)</f>
        <v>1</v>
      </c>
    </row>
    <row r="3514" spans="1:9" ht="25.5" customHeight="1" x14ac:dyDescent="0.2">
      <c r="A3514" s="27">
        <v>3512</v>
      </c>
      <c r="B3514" s="29" t="s">
        <v>95</v>
      </c>
      <c r="C3514" s="29" t="str">
        <f ca="1">IFERROR(__xludf.DUMMYFUNCTION("GOOGLETRANSLATE(C211,""en"",""hr"")"),"Pumpa za vodu")</f>
        <v>Pumpa za vodu</v>
      </c>
      <c r="D3514" s="28" t="s">
        <v>11</v>
      </c>
      <c r="E3514" s="29">
        <v>1</v>
      </c>
      <c r="F3514" s="17"/>
    </row>
    <row r="3515" spans="1:9" ht="25.5" customHeight="1" x14ac:dyDescent="0.2">
      <c r="A3515" s="27">
        <v>3513</v>
      </c>
      <c r="B3515" s="29" t="s">
        <v>118</v>
      </c>
      <c r="C3515" s="29" t="str">
        <f ca="1">IFERROR(__xludf.DUMMYFUNCTION("GOOGLETRANSLATE(C236,""en"",""hr"")"),"Povratna cijev")</f>
        <v>Povratna cijev</v>
      </c>
      <c r="D3515" s="28" t="s">
        <v>11</v>
      </c>
      <c r="E3515" s="29">
        <v>1</v>
      </c>
      <c r="F3515" s="17"/>
    </row>
    <row r="3516" spans="1:9" ht="25.5" customHeight="1" x14ac:dyDescent="0.2">
      <c r="A3516" s="27">
        <v>3514</v>
      </c>
      <c r="B3516" s="29" t="s">
        <v>101</v>
      </c>
      <c r="C3516" s="29" t="str">
        <f ca="1">IFERROR(__xludf.DUMMYFUNCTION("GOOGLETRANSLATE(C219,""en"",""hr"")"),"Remenica klinastog remena")</f>
        <v>Remenica klinastog remena</v>
      </c>
      <c r="D3516" s="28" t="s">
        <v>11</v>
      </c>
      <c r="E3516" s="29">
        <v>1</v>
      </c>
      <c r="F3516" s="17"/>
    </row>
    <row r="3517" spans="1:9" ht="25.5" customHeight="1" x14ac:dyDescent="0.2">
      <c r="A3517" s="27">
        <v>3515</v>
      </c>
      <c r="B3517" s="29" t="s">
        <v>98</v>
      </c>
      <c r="C3517" s="29" t="str">
        <f ca="1">IFERROR(__xludf.DUMMYFUNCTION("GOOGLETRANSLATE(C214,""en"",""hr"")"),"Remenica klinastog remena (5 utora)")</f>
        <v>Remenica klinastog remena (5 utora)</v>
      </c>
      <c r="D3517" s="28" t="s">
        <v>11</v>
      </c>
      <c r="E3517" s="29">
        <v>1</v>
      </c>
      <c r="F3517" s="17"/>
    </row>
    <row r="3518" spans="1:9" ht="25.5" customHeight="1" x14ac:dyDescent="0.2">
      <c r="A3518" s="27">
        <v>3516</v>
      </c>
      <c r="B3518" s="29" t="s">
        <v>97</v>
      </c>
      <c r="C3518" s="29" t="str">
        <f ca="1">IFERROR(__xludf.DUMMYFUNCTION("GOOGLETRANSLATE(C213,""en"",""hr"")"),"brtva")</f>
        <v>brtva</v>
      </c>
      <c r="D3518" s="28" t="s">
        <v>11</v>
      </c>
      <c r="E3518" s="29">
        <v>1</v>
      </c>
      <c r="F3518" s="17"/>
    </row>
    <row r="3519" spans="1:9" ht="25.5" customHeight="1" x14ac:dyDescent="0.2">
      <c r="A3519" s="27">
        <v>3517</v>
      </c>
      <c r="B3519" s="29" t="s">
        <v>483</v>
      </c>
      <c r="C3519" s="29" t="str">
        <f ca="1">IFERROR(__xludf.DUMMYFUNCTION("GOOGLETRANSLATE(C1162,""en"",""hr"")"),"brtva")</f>
        <v>brtva</v>
      </c>
      <c r="D3519" s="28" t="s">
        <v>11</v>
      </c>
      <c r="E3519" s="29">
        <v>1</v>
      </c>
      <c r="F3519" s="17"/>
    </row>
    <row r="3520" spans="1:9" ht="25.5" customHeight="1" x14ac:dyDescent="0.2">
      <c r="A3520" s="27">
        <v>3518</v>
      </c>
      <c r="B3520" s="29" t="s">
        <v>96</v>
      </c>
      <c r="C3520" s="29" t="str">
        <f ca="1">IFERROR(__xludf.DUMMYFUNCTION("GOOGLETRANSLATE(C212,""en"",""hr"")"),"brtva")</f>
        <v>brtva</v>
      </c>
      <c r="D3520" s="28" t="s">
        <v>11</v>
      </c>
      <c r="E3520" s="29">
        <v>1</v>
      </c>
      <c r="F3520" s="17"/>
    </row>
    <row r="3521" spans="1:9" ht="25.5" customHeight="1" x14ac:dyDescent="0.2">
      <c r="A3521" s="27">
        <v>3519</v>
      </c>
      <c r="B3521" s="29" t="s">
        <v>104</v>
      </c>
      <c r="C3521" s="29" t="str">
        <f ca="1">IFERROR(__xludf.DUMMYFUNCTION("GOOGLETRANSLATE(C222,""en"",""hr"")"),"Kolut")</f>
        <v>Kolut</v>
      </c>
      <c r="D3521" s="28" t="s">
        <v>11</v>
      </c>
      <c r="E3521" s="29">
        <v>1</v>
      </c>
      <c r="F3521" s="17"/>
    </row>
    <row r="3522" spans="1:9" ht="25.5" customHeight="1" x14ac:dyDescent="0.2">
      <c r="A3522" s="27">
        <v>3520</v>
      </c>
      <c r="B3522" s="29" t="s">
        <v>116</v>
      </c>
      <c r="C3522" s="29" t="str">
        <f ca="1">IFERROR(__xludf.DUMMYFUNCTION("GOOGLETRANSLATE(C234,""en"",""hr"")"),"Cijev za kapanje ulja R754 EU4/EU5/EU6/ISE4 (3B)")</f>
        <v>Cijev za kapanje ulja R754 EU4/EU5/EU6/ISE4 (3B)</v>
      </c>
      <c r="D3522" s="28" t="s">
        <v>11</v>
      </c>
      <c r="E3522" s="29">
        <v>1</v>
      </c>
      <c r="F3522" s="17"/>
    </row>
    <row r="3523" spans="1:9" ht="25.5" customHeight="1" x14ac:dyDescent="0.2">
      <c r="A3523" s="27">
        <v>3521</v>
      </c>
      <c r="B3523" s="29" t="s">
        <v>110</v>
      </c>
      <c r="C3523" s="29" t="str">
        <f ca="1">IFERROR(__xludf.DUMMYFUNCTION("GOOGLETRANSLATE(C228,""en"",""hr"")"),"Mlaznica kompl. R754/IE/ISE4/EU6")</f>
        <v>Mlaznica kompl. R754/IE/ISE4/EU6</v>
      </c>
      <c r="D3523" s="28" t="s">
        <v>11</v>
      </c>
      <c r="E3523" s="29">
        <v>1</v>
      </c>
      <c r="F3523" s="17"/>
    </row>
    <row r="3524" spans="1:9" ht="25.5" customHeight="1" x14ac:dyDescent="0.2">
      <c r="A3524" s="27">
        <v>3522</v>
      </c>
      <c r="B3524" s="29" t="s">
        <v>128</v>
      </c>
      <c r="C3524" s="29" t="str">
        <f ca="1">IFERROR(__xludf.DUMMYFUNCTION("GOOGLETRANSLATE(C263,""en"",""hr"")"),"Sklop startera")</f>
        <v>Sklop startera</v>
      </c>
      <c r="D3524" s="28" t="s">
        <v>11</v>
      </c>
      <c r="E3524" s="29">
        <v>1</v>
      </c>
      <c r="F3524" s="17"/>
    </row>
    <row r="3525" spans="1:9" ht="25.5" customHeight="1" x14ac:dyDescent="0.2">
      <c r="A3525" s="27">
        <v>3523</v>
      </c>
      <c r="B3525" s="29" t="s">
        <v>129</v>
      </c>
      <c r="C3525" s="29" t="str">
        <f ca="1">IFERROR(__xludf.DUMMYFUNCTION("GOOGLETRANSLATE(C264,""en"",""hr"")"),"Termostat")</f>
        <v>Termostat</v>
      </c>
      <c r="D3525" s="28" t="s">
        <v>11</v>
      </c>
      <c r="E3525" s="29">
        <v>1</v>
      </c>
      <c r="F3525" s="17"/>
    </row>
    <row r="3526" spans="1:9" ht="25.5" customHeight="1" x14ac:dyDescent="0.2">
      <c r="A3526" s="27">
        <v>3524</v>
      </c>
      <c r="B3526" s="29" t="s">
        <v>122</v>
      </c>
      <c r="C3526" s="29" t="str">
        <f ca="1">IFERROR(__xludf.DUMMYFUNCTION("GOOGLETRANSLATE(C252,""en"",""hr"")"),"Set odvodnih vijaka")</f>
        <v>Set odvodnih vijaka</v>
      </c>
      <c r="D3526" s="28" t="s">
        <v>11</v>
      </c>
      <c r="E3526" s="29">
        <v>1</v>
      </c>
      <c r="F3526" s="17"/>
    </row>
    <row r="3527" spans="1:9" ht="25.5" customHeight="1" x14ac:dyDescent="0.2">
      <c r="A3527" s="27">
        <v>3525</v>
      </c>
      <c r="B3527" s="29" t="s">
        <v>112</v>
      </c>
      <c r="C3527" s="29" t="str">
        <f ca="1">IFERROR(__xludf.DUMMYFUNCTION("GOOGLETRANSLATE(C230,""en"",""hr"")"),"brtva")</f>
        <v>brtva</v>
      </c>
      <c r="D3527" s="28" t="s">
        <v>11</v>
      </c>
      <c r="E3527" s="29">
        <v>1</v>
      </c>
      <c r="F3527" s="17"/>
    </row>
    <row r="3528" spans="1:9" ht="25.5" customHeight="1" x14ac:dyDescent="0.2">
      <c r="A3528" s="27">
        <v>3526</v>
      </c>
      <c r="B3528" s="29" t="s">
        <v>528</v>
      </c>
      <c r="C3528" s="29" t="str">
        <f ca="1">IFERROR(__xludf.DUMMYFUNCTION("GOOGLETRANSLATE(C1375,""en"",""hr"")"),"Sklop senzora")</f>
        <v>Sklop senzora</v>
      </c>
      <c r="D3528" s="28" t="s">
        <v>11</v>
      </c>
      <c r="E3528" s="29">
        <v>1</v>
      </c>
      <c r="F3528" s="17"/>
    </row>
    <row r="3529" spans="1:9" ht="25.5" customHeight="1" x14ac:dyDescent="0.2">
      <c r="A3529" s="27">
        <v>3527</v>
      </c>
      <c r="B3529" s="29" t="s">
        <v>127</v>
      </c>
      <c r="C3529" s="29" t="str">
        <f ca="1">IFERROR(__xludf.DUMMYFUNCTION("GOOGLETRANSLATE(C257,""en"",""hr"")"),"Sklop senzora")</f>
        <v>Sklop senzora</v>
      </c>
      <c r="D3529" s="28" t="s">
        <v>11</v>
      </c>
      <c r="E3529" s="29">
        <v>1</v>
      </c>
      <c r="F3529" s="17"/>
    </row>
    <row r="3530" spans="1:9" ht="25.5" customHeight="1" x14ac:dyDescent="0.2">
      <c r="A3530" s="27">
        <v>3528</v>
      </c>
      <c r="B3530" s="29" t="s">
        <v>111</v>
      </c>
      <c r="C3530" s="29" t="str">
        <f ca="1">IFERROR(__xludf.DUMMYFUNCTION("GOOGLETRANSLATE(C229,""en"",""hr"")"),"O-prsten")</f>
        <v>O-prsten</v>
      </c>
      <c r="D3530" s="28" t="s">
        <v>11</v>
      </c>
      <c r="E3530" s="29">
        <v>1</v>
      </c>
      <c r="F3530" s="17"/>
    </row>
    <row r="3531" spans="1:9" ht="25.5" customHeight="1" x14ac:dyDescent="0.2">
      <c r="A3531" s="27">
        <v>3529</v>
      </c>
      <c r="B3531" s="29" t="s">
        <v>130</v>
      </c>
      <c r="C3531" s="29" t="str">
        <f ca="1">IFERROR(__xludf.DUMMYFUNCTION("GOOGLETRANSLATE(C265,""en"",""hr"")"),"O-prsten termostat")</f>
        <v>O-prsten termostat</v>
      </c>
      <c r="D3531" s="28" t="s">
        <v>11</v>
      </c>
      <c r="E3531" s="29">
        <v>1</v>
      </c>
      <c r="F3531" s="17"/>
    </row>
    <row r="3532" spans="1:9" ht="25.5" customHeight="1" x14ac:dyDescent="0.2">
      <c r="A3532" s="27">
        <v>3530</v>
      </c>
      <c r="B3532" s="29" t="s">
        <v>1885</v>
      </c>
      <c r="C3532" s="29" t="str">
        <f ca="1">IFERROR(__xludf.DUMMYFUNCTION("GOOGLETRANSLATE(C6600,""en"",""hr"")"),"Jedinica za dijagnostiku")</f>
        <v>Jedinica za dijagnostiku</v>
      </c>
      <c r="D3532" s="28" t="s">
        <v>11</v>
      </c>
      <c r="E3532" s="29">
        <v>1</v>
      </c>
      <c r="F3532" s="17"/>
      <c r="I3532" s="4" t="b">
        <f>INT(F3530*100)=(F3530*100)</f>
        <v>1</v>
      </c>
    </row>
    <row r="3533" spans="1:9" ht="25.5" customHeight="1" x14ac:dyDescent="0.2">
      <c r="A3533" s="27">
        <v>3531</v>
      </c>
      <c r="B3533" s="29" t="s">
        <v>938</v>
      </c>
      <c r="C3533" s="29" t="str">
        <f ca="1">IFERROR(__xludf.DUMMYFUNCTION("GOOGLETRANSLATE(C2856,""en"",""hr"")"),"Čahura ležaja")</f>
        <v>Čahura ležaja</v>
      </c>
      <c r="D3533" s="28" t="s">
        <v>11</v>
      </c>
      <c r="E3533" s="29">
        <v>1</v>
      </c>
      <c r="F3533" s="17"/>
    </row>
    <row r="3534" spans="1:9" ht="25.5" customHeight="1" x14ac:dyDescent="0.2">
      <c r="A3534" s="27">
        <v>3532</v>
      </c>
      <c r="B3534" s="29" t="s">
        <v>1402</v>
      </c>
      <c r="C3534" s="29" t="str">
        <f ca="1">IFERROR(__xludf.DUMMYFUNCTION("GOOGLETRANSLATE(C4550,""en"",""hr"")"),"Crijevo")</f>
        <v>Crijevo</v>
      </c>
      <c r="D3534" s="28" t="s">
        <v>11</v>
      </c>
      <c r="E3534" s="29">
        <v>1</v>
      </c>
      <c r="F3534" s="17"/>
    </row>
    <row r="3535" spans="1:9" ht="25.5" customHeight="1" x14ac:dyDescent="0.2">
      <c r="A3535" s="27">
        <v>3533</v>
      </c>
      <c r="B3535" s="29" t="s">
        <v>1406</v>
      </c>
      <c r="C3535" s="29" t="str">
        <f ca="1">IFERROR(__xludf.DUMMYFUNCTION("GOOGLETRANSLATE(C4560,""en"",""hr"")"),"Hidraulično crijevo")</f>
        <v>Hidraulično crijevo</v>
      </c>
      <c r="D3535" s="28" t="s">
        <v>11</v>
      </c>
      <c r="E3535" s="29">
        <v>1</v>
      </c>
      <c r="F3535" s="17"/>
      <c r="I3535" s="4" t="b">
        <f>INT(F3533*100)=(F3533*100)</f>
        <v>1</v>
      </c>
    </row>
    <row r="3536" spans="1:9" ht="25.5" customHeight="1" x14ac:dyDescent="0.2">
      <c r="A3536" s="27">
        <v>3534</v>
      </c>
      <c r="B3536" s="29" t="s">
        <v>1727</v>
      </c>
      <c r="C3536" s="29" t="str">
        <f ca="1">IFERROR(__xludf.DUMMYFUNCTION("GOOGLETRANSLATE(C5992,""en"",""hr"")"),"Hidraulično crijevo")</f>
        <v>Hidraulično crijevo</v>
      </c>
      <c r="D3536" s="28" t="s">
        <v>11</v>
      </c>
      <c r="E3536" s="29">
        <v>1</v>
      </c>
      <c r="F3536" s="17"/>
    </row>
    <row r="3537" spans="1:9" ht="25.5" customHeight="1" x14ac:dyDescent="0.2">
      <c r="A3537" s="27">
        <v>3535</v>
      </c>
      <c r="B3537" s="29" t="s">
        <v>1728</v>
      </c>
      <c r="C3537" s="29" t="str">
        <f ca="1">IFERROR(__xludf.DUMMYFUNCTION("GOOGLETRANSLATE(C5993,""en"",""hr"")"),"Hidraulično crijevo")</f>
        <v>Hidraulično crijevo</v>
      </c>
      <c r="D3537" s="28" t="s">
        <v>11</v>
      </c>
      <c r="E3537" s="29">
        <v>1</v>
      </c>
      <c r="F3537" s="17"/>
    </row>
    <row r="3538" spans="1:9" ht="25.5" customHeight="1" x14ac:dyDescent="0.2">
      <c r="A3538" s="27">
        <v>3536</v>
      </c>
      <c r="B3538" s="29" t="s">
        <v>1592</v>
      </c>
      <c r="C3538" s="29" t="str">
        <f ca="1">IFERROR(__xludf.DUMMYFUNCTION("GOOGLETRANSLATE(C5406,""en"",""hr"")"),"Hidraulično crijevo")</f>
        <v>Hidraulično crijevo</v>
      </c>
      <c r="D3538" s="28" t="s">
        <v>11</v>
      </c>
      <c r="E3538" s="29">
        <v>1</v>
      </c>
      <c r="F3538" s="17"/>
    </row>
    <row r="3539" spans="1:9" ht="25.5" customHeight="1" x14ac:dyDescent="0.2">
      <c r="A3539" s="27">
        <v>3537</v>
      </c>
      <c r="B3539" s="29" t="s">
        <v>1600</v>
      </c>
      <c r="C3539" s="29" t="str">
        <f ca="1">IFERROR(__xludf.DUMMYFUNCTION("GOOGLETRANSLATE(C5414,""en"",""hr"")"),"Hidraulično crijevo")</f>
        <v>Hidraulično crijevo</v>
      </c>
      <c r="D3539" s="28" t="s">
        <v>11</v>
      </c>
      <c r="E3539" s="29">
        <v>1</v>
      </c>
      <c r="F3539" s="17"/>
      <c r="I3539" s="4" t="b">
        <f>INT(F3537*100)=(F3537*100)</f>
        <v>1</v>
      </c>
    </row>
    <row r="3540" spans="1:9" ht="25.5" customHeight="1" x14ac:dyDescent="0.2">
      <c r="A3540" s="27">
        <v>3538</v>
      </c>
      <c r="B3540" s="29" t="s">
        <v>690</v>
      </c>
      <c r="C3540" s="29" t="str">
        <f ca="1">IFERROR(__xludf.DUMMYFUNCTION("GOOGLETRANSLATE(C2171,""en"",""hr"")"),"Hidraulično crijevo")</f>
        <v>Hidraulično crijevo</v>
      </c>
      <c r="D3540" s="28" t="s">
        <v>11</v>
      </c>
      <c r="E3540" s="29">
        <v>1</v>
      </c>
      <c r="F3540" s="17"/>
    </row>
    <row r="3541" spans="1:9" ht="25.5" customHeight="1" x14ac:dyDescent="0.2">
      <c r="A3541" s="27">
        <v>3539</v>
      </c>
      <c r="B3541" s="29" t="s">
        <v>688</v>
      </c>
      <c r="C3541" s="29" t="str">
        <f ca="1">IFERROR(__xludf.DUMMYFUNCTION("GOOGLETRANSLATE(C2169,""en"",""hr"")"),"Hidraulično crijevo")</f>
        <v>Hidraulično crijevo</v>
      </c>
      <c r="D3541" s="28" t="s">
        <v>11</v>
      </c>
      <c r="E3541" s="29">
        <v>1</v>
      </c>
      <c r="F3541" s="17"/>
    </row>
    <row r="3542" spans="1:9" ht="25.5" customHeight="1" x14ac:dyDescent="0.2">
      <c r="A3542" s="27">
        <v>3540</v>
      </c>
      <c r="B3542" s="29" t="s">
        <v>700</v>
      </c>
      <c r="C3542" s="29" t="str">
        <f ca="1">IFERROR(__xludf.DUMMYFUNCTION("GOOGLETRANSLATE(C2213,""en"",""hr"")"),"Hidraulično crijevo")</f>
        <v>Hidraulično crijevo</v>
      </c>
      <c r="D3542" s="28" t="s">
        <v>11</v>
      </c>
      <c r="E3542" s="29">
        <v>1</v>
      </c>
      <c r="F3542" s="17"/>
    </row>
    <row r="3543" spans="1:9" ht="25.5" customHeight="1" x14ac:dyDescent="0.2">
      <c r="A3543" s="27">
        <v>3541</v>
      </c>
      <c r="B3543" s="29" t="s">
        <v>701</v>
      </c>
      <c r="C3543" s="29" t="str">
        <f ca="1">IFERROR(__xludf.DUMMYFUNCTION("GOOGLETRANSLATE(C2216,""en"",""hr"")"),"Hidraulično crijevo")</f>
        <v>Hidraulično crijevo</v>
      </c>
      <c r="D3543" s="28" t="s">
        <v>11</v>
      </c>
      <c r="E3543" s="29">
        <v>1</v>
      </c>
      <c r="F3543" s="17"/>
    </row>
    <row r="3544" spans="1:9" ht="25.5" customHeight="1" x14ac:dyDescent="0.2">
      <c r="A3544" s="27">
        <v>3542</v>
      </c>
      <c r="B3544" s="29" t="s">
        <v>693</v>
      </c>
      <c r="C3544" s="29" t="str">
        <f ca="1">IFERROR(__xludf.DUMMYFUNCTION("GOOGLETRANSLATE(C2200,""en"",""hr"")"),"Hidraulično crijevo")</f>
        <v>Hidraulično crijevo</v>
      </c>
      <c r="D3544" s="28" t="s">
        <v>11</v>
      </c>
      <c r="E3544" s="29">
        <v>1</v>
      </c>
      <c r="F3544" s="17"/>
    </row>
    <row r="3545" spans="1:9" ht="25.5" customHeight="1" x14ac:dyDescent="0.2">
      <c r="A3545" s="27">
        <v>3543</v>
      </c>
      <c r="B3545" s="29" t="s">
        <v>695</v>
      </c>
      <c r="C3545" s="29" t="str">
        <f ca="1">IFERROR(__xludf.DUMMYFUNCTION("GOOGLETRANSLATE(C2203,""en"",""hr"")"),"Hidraulično crijevo")</f>
        <v>Hidraulično crijevo</v>
      </c>
      <c r="D3545" s="28" t="s">
        <v>11</v>
      </c>
      <c r="E3545" s="29">
        <v>1</v>
      </c>
      <c r="F3545" s="17"/>
    </row>
    <row r="3546" spans="1:9" ht="25.5" customHeight="1" x14ac:dyDescent="0.2">
      <c r="A3546" s="27">
        <v>3544</v>
      </c>
      <c r="B3546" s="29" t="s">
        <v>696</v>
      </c>
      <c r="C3546" s="29" t="str">
        <f ca="1">IFERROR(__xludf.DUMMYFUNCTION("GOOGLETRANSLATE(C2204,""en"",""hr"")"),"Hidraulično crijevo")</f>
        <v>Hidraulično crijevo</v>
      </c>
      <c r="D3546" s="28" t="s">
        <v>11</v>
      </c>
      <c r="E3546" s="29">
        <v>1</v>
      </c>
      <c r="F3546" s="17"/>
    </row>
    <row r="3547" spans="1:9" ht="25.5" customHeight="1" x14ac:dyDescent="0.2">
      <c r="A3547" s="27">
        <v>3545</v>
      </c>
      <c r="B3547" s="29" t="s">
        <v>743</v>
      </c>
      <c r="C3547" s="29" t="str">
        <f ca="1">IFERROR(__xludf.DUMMYFUNCTION("GOOGLETRANSLATE(C2341,""en"",""hr"")"),"Crijevo")</f>
        <v>Crijevo</v>
      </c>
      <c r="D3547" s="28" t="s">
        <v>11</v>
      </c>
      <c r="E3547" s="29">
        <v>1</v>
      </c>
      <c r="F3547" s="17"/>
    </row>
    <row r="3548" spans="1:9" ht="25.5" customHeight="1" x14ac:dyDescent="0.2">
      <c r="A3548" s="27">
        <v>3546</v>
      </c>
      <c r="B3548" s="29" t="s">
        <v>737</v>
      </c>
      <c r="C3548" s="29" t="str">
        <f ca="1">IFERROR(__xludf.DUMMYFUNCTION("GOOGLETRANSLATE(C2322,""en"",""hr"")"),"Crijevo")</f>
        <v>Crijevo</v>
      </c>
      <c r="D3548" s="28" t="s">
        <v>11</v>
      </c>
      <c r="E3548" s="29">
        <v>1</v>
      </c>
      <c r="F3548" s="17"/>
    </row>
    <row r="3549" spans="1:9" ht="25.5" customHeight="1" x14ac:dyDescent="0.2">
      <c r="A3549" s="27">
        <v>3547</v>
      </c>
      <c r="B3549" s="29" t="s">
        <v>738</v>
      </c>
      <c r="C3549" s="29" t="str">
        <f ca="1">IFERROR(__xludf.DUMMYFUNCTION("GOOGLETRANSLATE(C2323,""en"",""hr"")"),"Crijevo")</f>
        <v>Crijevo</v>
      </c>
      <c r="D3549" s="28" t="s">
        <v>11</v>
      </c>
      <c r="E3549" s="29">
        <v>1</v>
      </c>
      <c r="F3549" s="17"/>
    </row>
    <row r="3550" spans="1:9" ht="25.5" customHeight="1" x14ac:dyDescent="0.2">
      <c r="A3550" s="27">
        <v>3548</v>
      </c>
      <c r="B3550" s="29" t="s">
        <v>643</v>
      </c>
      <c r="C3550" s="29" t="str">
        <f ca="1">IFERROR(__xludf.DUMMYFUNCTION("GOOGLETRANSLATE(C1988,""en"",""hr"")"),"Crijevo")</f>
        <v>Crijevo</v>
      </c>
      <c r="D3550" s="28" t="s">
        <v>11</v>
      </c>
      <c r="E3550" s="29">
        <v>1</v>
      </c>
      <c r="F3550" s="17"/>
    </row>
    <row r="3551" spans="1:9" ht="25.5" customHeight="1" x14ac:dyDescent="0.2">
      <c r="A3551" s="27">
        <v>3549</v>
      </c>
      <c r="B3551" s="29" t="s">
        <v>644</v>
      </c>
      <c r="C3551" s="29" t="str">
        <f ca="1">IFERROR(__xludf.DUMMYFUNCTION("GOOGLETRANSLATE(C1989,""en"",""hr"")"),"Hidraulično crijevo")</f>
        <v>Hidraulično crijevo</v>
      </c>
      <c r="D3551" s="28" t="s">
        <v>11</v>
      </c>
      <c r="E3551" s="29">
        <v>1</v>
      </c>
      <c r="F3551" s="17"/>
    </row>
    <row r="3552" spans="1:9" ht="25.5" customHeight="1" x14ac:dyDescent="0.2">
      <c r="A3552" s="27">
        <v>3550</v>
      </c>
      <c r="B3552" s="29" t="s">
        <v>759</v>
      </c>
      <c r="C3552" s="29" t="str">
        <f ca="1">IFERROR(__xludf.DUMMYFUNCTION("GOOGLETRANSLATE(C2367,""en"",""hr"")"),"Crijevo")</f>
        <v>Crijevo</v>
      </c>
      <c r="D3552" s="28" t="s">
        <v>11</v>
      </c>
      <c r="E3552" s="29">
        <v>1</v>
      </c>
      <c r="F3552" s="17"/>
    </row>
    <row r="3553" spans="1:9" ht="25.5" customHeight="1" x14ac:dyDescent="0.2">
      <c r="A3553" s="27">
        <v>3551</v>
      </c>
      <c r="B3553" s="29" t="s">
        <v>742</v>
      </c>
      <c r="C3553" s="29" t="str">
        <f ca="1">IFERROR(__xludf.DUMMYFUNCTION("GOOGLETRANSLATE(C2333,""en"",""hr"")"),"Crijevo")</f>
        <v>Crijevo</v>
      </c>
      <c r="D3553" s="28" t="s">
        <v>11</v>
      </c>
      <c r="E3553" s="29">
        <v>1</v>
      </c>
      <c r="F3553" s="17"/>
    </row>
    <row r="3554" spans="1:9" ht="25.5" customHeight="1" x14ac:dyDescent="0.2">
      <c r="A3554" s="27">
        <v>3552</v>
      </c>
      <c r="B3554" s="29" t="s">
        <v>754</v>
      </c>
      <c r="C3554" s="29" t="str">
        <f ca="1">IFERROR(__xludf.DUMMYFUNCTION("GOOGLETRANSLATE(C2361,""en"",""hr"")"),"Crijevo")</f>
        <v>Crijevo</v>
      </c>
      <c r="D3554" s="28" t="s">
        <v>11</v>
      </c>
      <c r="E3554" s="29">
        <v>1</v>
      </c>
      <c r="F3554" s="17"/>
    </row>
    <row r="3555" spans="1:9" ht="25.5" customHeight="1" x14ac:dyDescent="0.2">
      <c r="A3555" s="27">
        <v>3553</v>
      </c>
      <c r="B3555" s="29" t="s">
        <v>758</v>
      </c>
      <c r="C3555" s="29" t="str">
        <f ca="1">IFERROR(__xludf.DUMMYFUNCTION("GOOGLETRANSLATE(C2366,""en"",""hr"")"),"Crijevo")</f>
        <v>Crijevo</v>
      </c>
      <c r="D3555" s="28" t="s">
        <v>11</v>
      </c>
      <c r="E3555" s="29">
        <v>1</v>
      </c>
      <c r="F3555" s="17"/>
    </row>
    <row r="3556" spans="1:9" ht="25.5" customHeight="1" x14ac:dyDescent="0.2">
      <c r="A3556" s="27">
        <v>3554</v>
      </c>
      <c r="B3556" s="29" t="s">
        <v>752</v>
      </c>
      <c r="C3556" s="29" t="str">
        <f ca="1">IFERROR(__xludf.DUMMYFUNCTION("GOOGLETRANSLATE(C2359,""en"",""hr"")"),"Crijevo")</f>
        <v>Crijevo</v>
      </c>
      <c r="D3556" s="28" t="s">
        <v>11</v>
      </c>
      <c r="E3556" s="29">
        <v>1</v>
      </c>
      <c r="F3556" s="17"/>
    </row>
    <row r="3557" spans="1:9" ht="25.5" customHeight="1" x14ac:dyDescent="0.2">
      <c r="A3557" s="27">
        <v>3555</v>
      </c>
      <c r="B3557" s="29" t="s">
        <v>756</v>
      </c>
      <c r="C3557" s="29" t="str">
        <f ca="1">IFERROR(__xludf.DUMMYFUNCTION("GOOGLETRANSLATE(C2363,""en"",""hr"")"),"Crijevo")</f>
        <v>Crijevo</v>
      </c>
      <c r="D3557" s="28" t="s">
        <v>11</v>
      </c>
      <c r="E3557" s="29">
        <v>1</v>
      </c>
      <c r="F3557" s="17"/>
      <c r="I3557" s="4" t="b">
        <f>INT(F3555*100)=(F3555*100)</f>
        <v>1</v>
      </c>
    </row>
    <row r="3558" spans="1:9" ht="25.5" customHeight="1" x14ac:dyDescent="0.2">
      <c r="A3558" s="27">
        <v>3556</v>
      </c>
      <c r="B3558" s="29" t="s">
        <v>750</v>
      </c>
      <c r="C3558" s="29" t="str">
        <f ca="1">IFERROR(__xludf.DUMMYFUNCTION("GOOGLETRANSLATE(C2357,""en"",""hr"")"),"Crijevo")</f>
        <v>Crijevo</v>
      </c>
      <c r="D3558" s="28" t="s">
        <v>11</v>
      </c>
      <c r="E3558" s="29">
        <v>1</v>
      </c>
      <c r="F3558" s="17"/>
    </row>
    <row r="3559" spans="1:9" ht="25.5" customHeight="1" x14ac:dyDescent="0.2">
      <c r="A3559" s="27">
        <v>3557</v>
      </c>
      <c r="B3559" s="29" t="s">
        <v>755</v>
      </c>
      <c r="C3559" s="29" t="str">
        <f ca="1">IFERROR(__xludf.DUMMYFUNCTION("GOOGLETRANSLATE(C2362,""en"",""hr"")"),"Crijevo")</f>
        <v>Crijevo</v>
      </c>
      <c r="D3559" s="28" t="s">
        <v>11</v>
      </c>
      <c r="E3559" s="29">
        <v>1</v>
      </c>
      <c r="F3559" s="17"/>
    </row>
    <row r="3560" spans="1:9" ht="25.5" customHeight="1" x14ac:dyDescent="0.2">
      <c r="A3560" s="27">
        <v>3558</v>
      </c>
      <c r="B3560" s="29" t="s">
        <v>1596</v>
      </c>
      <c r="C3560" s="29" t="str">
        <f ca="1">IFERROR(__xludf.DUMMYFUNCTION("GOOGLETRANSLATE(C5410,""en"",""hr"")"),"Hidraulično crijevo")</f>
        <v>Hidraulično crijevo</v>
      </c>
      <c r="D3560" s="28" t="s">
        <v>11</v>
      </c>
      <c r="E3560" s="29">
        <v>1</v>
      </c>
      <c r="F3560" s="17"/>
      <c r="I3560" s="4" t="b">
        <f>INT(F3558*100)=(F3558*100)</f>
        <v>1</v>
      </c>
    </row>
    <row r="3561" spans="1:9" ht="25.5" customHeight="1" x14ac:dyDescent="0.2">
      <c r="A3561" s="27">
        <v>3559</v>
      </c>
      <c r="B3561" s="29" t="s">
        <v>1599</v>
      </c>
      <c r="C3561" s="29" t="str">
        <f ca="1">IFERROR(__xludf.DUMMYFUNCTION("GOOGLETRANSLATE(C5413,""en"",""hr"")"),"Hidraulično crijevo")</f>
        <v>Hidraulično crijevo</v>
      </c>
      <c r="D3561" s="28" t="s">
        <v>11</v>
      </c>
      <c r="E3561" s="29">
        <v>1</v>
      </c>
      <c r="F3561" s="17"/>
    </row>
    <row r="3562" spans="1:9" ht="25.5" customHeight="1" x14ac:dyDescent="0.2">
      <c r="A3562" s="27">
        <v>3560</v>
      </c>
      <c r="B3562" s="29" t="s">
        <v>1416</v>
      </c>
      <c r="C3562" s="29" t="str">
        <f ca="1">IFERROR(__xludf.DUMMYFUNCTION("GOOGLETRANSLATE(C4596,""en"",""hr"")"),"Hidraulično crijevo")</f>
        <v>Hidraulično crijevo</v>
      </c>
      <c r="D3562" s="28" t="s">
        <v>11</v>
      </c>
      <c r="E3562" s="29">
        <v>1</v>
      </c>
      <c r="F3562" s="17"/>
    </row>
    <row r="3563" spans="1:9" ht="25.5" customHeight="1" x14ac:dyDescent="0.2">
      <c r="A3563" s="27">
        <v>3561</v>
      </c>
      <c r="B3563" s="29" t="s">
        <v>684</v>
      </c>
      <c r="C3563" s="29" t="str">
        <f ca="1">IFERROR(__xludf.DUMMYFUNCTION("GOOGLETRANSLATE(C2144,""en"",""hr"")"),"Crijevo")</f>
        <v>Crijevo</v>
      </c>
      <c r="D3563" s="28" t="s">
        <v>11</v>
      </c>
      <c r="E3563" s="29">
        <v>1</v>
      </c>
      <c r="F3563" s="17"/>
    </row>
    <row r="3564" spans="1:9" ht="25.5" customHeight="1" x14ac:dyDescent="0.2">
      <c r="A3564" s="27">
        <v>3562</v>
      </c>
      <c r="B3564" s="29" t="s">
        <v>885</v>
      </c>
      <c r="C3564" s="29" t="str">
        <f ca="1">IFERROR(__xludf.DUMMYFUNCTION("GOOGLETRANSLATE(C2598,""en"",""hr"")"),"Crijevo")</f>
        <v>Crijevo</v>
      </c>
      <c r="D3564" s="28" t="s">
        <v>11</v>
      </c>
      <c r="E3564" s="29">
        <v>1</v>
      </c>
      <c r="F3564" s="17"/>
      <c r="I3564" s="4" t="b">
        <f>INT(F3562*100)=(F3562*100)</f>
        <v>1</v>
      </c>
    </row>
    <row r="3565" spans="1:9" ht="25.5" customHeight="1" x14ac:dyDescent="0.2">
      <c r="A3565" s="27">
        <v>3563</v>
      </c>
      <c r="B3565" s="29" t="s">
        <v>887</v>
      </c>
      <c r="C3565" s="29" t="str">
        <f ca="1">IFERROR(__xludf.DUMMYFUNCTION("GOOGLETRANSLATE(C2600,""en"",""hr"")"),"Crijevo")</f>
        <v>Crijevo</v>
      </c>
      <c r="D3565" s="28" t="s">
        <v>11</v>
      </c>
      <c r="E3565" s="29">
        <v>1</v>
      </c>
      <c r="F3565" s="17"/>
    </row>
    <row r="3566" spans="1:9" ht="25.5" customHeight="1" x14ac:dyDescent="0.2">
      <c r="A3566" s="27">
        <v>3564</v>
      </c>
      <c r="B3566" s="29" t="s">
        <v>886</v>
      </c>
      <c r="C3566" s="29" t="str">
        <f ca="1">IFERROR(__xludf.DUMMYFUNCTION("GOOGLETRANSLATE(C2599,""en"",""hr"")"),"Crijevo")</f>
        <v>Crijevo</v>
      </c>
      <c r="D3566" s="28" t="s">
        <v>11</v>
      </c>
      <c r="E3566" s="29">
        <v>1</v>
      </c>
      <c r="F3566" s="17"/>
    </row>
    <row r="3567" spans="1:9" ht="25.5" customHeight="1" x14ac:dyDescent="0.2">
      <c r="A3567" s="27">
        <v>3565</v>
      </c>
      <c r="B3567" s="29" t="s">
        <v>889</v>
      </c>
      <c r="C3567" s="29" t="str">
        <f ca="1">IFERROR(__xludf.DUMMYFUNCTION("GOOGLETRANSLATE(C2602,""en"",""hr"")"),"Crijevo")</f>
        <v>Crijevo</v>
      </c>
      <c r="D3567" s="28" t="s">
        <v>11</v>
      </c>
      <c r="E3567" s="29">
        <v>1</v>
      </c>
      <c r="F3567" s="17"/>
    </row>
    <row r="3568" spans="1:9" ht="25.5" customHeight="1" x14ac:dyDescent="0.2">
      <c r="A3568" s="27">
        <v>3566</v>
      </c>
      <c r="B3568" s="29" t="s">
        <v>884</v>
      </c>
      <c r="C3568" s="29" t="str">
        <f ca="1">IFERROR(__xludf.DUMMYFUNCTION("GOOGLETRANSLATE(C2597,""en"",""hr"")"),"Crijevo")</f>
        <v>Crijevo</v>
      </c>
      <c r="D3568" s="28" t="s">
        <v>11</v>
      </c>
      <c r="E3568" s="29">
        <v>1</v>
      </c>
      <c r="F3568" s="17"/>
    </row>
    <row r="3569" spans="1:9" ht="25.5" customHeight="1" x14ac:dyDescent="0.2">
      <c r="A3569" s="27">
        <v>3567</v>
      </c>
      <c r="B3569" s="29" t="s">
        <v>656</v>
      </c>
      <c r="C3569" s="29" t="str">
        <f ca="1">IFERROR(__xludf.DUMMYFUNCTION("GOOGLETRANSLATE(C2064,""en"",""hr"")"),"Hidraulično crijevo")</f>
        <v>Hidraulično crijevo</v>
      </c>
      <c r="D3569" s="28" t="s">
        <v>11</v>
      </c>
      <c r="E3569" s="29">
        <v>1</v>
      </c>
      <c r="F3569" s="17"/>
    </row>
    <row r="3570" spans="1:9" ht="25.5" customHeight="1" x14ac:dyDescent="0.2">
      <c r="A3570" s="27">
        <v>3568</v>
      </c>
      <c r="B3570" s="29" t="s">
        <v>760</v>
      </c>
      <c r="C3570" s="29" t="str">
        <f ca="1">IFERROR(__xludf.DUMMYFUNCTION("GOOGLETRANSLATE(C2368,""en"",""hr"")"),"Crijevo")</f>
        <v>Crijevo</v>
      </c>
      <c r="D3570" s="28" t="s">
        <v>11</v>
      </c>
      <c r="E3570" s="29">
        <v>1</v>
      </c>
      <c r="F3570" s="17"/>
    </row>
    <row r="3571" spans="1:9" ht="25.5" customHeight="1" x14ac:dyDescent="0.2">
      <c r="A3571" s="27">
        <v>3569</v>
      </c>
      <c r="B3571" s="29" t="s">
        <v>741</v>
      </c>
      <c r="C3571" s="29" t="str">
        <f ca="1">IFERROR(__xludf.DUMMYFUNCTION("GOOGLETRANSLATE(C2332,""en"",""hr"")"),"Crijevo")</f>
        <v>Crijevo</v>
      </c>
      <c r="D3571" s="28" t="s">
        <v>11</v>
      </c>
      <c r="E3571" s="29">
        <v>1</v>
      </c>
      <c r="F3571" s="17"/>
    </row>
    <row r="3572" spans="1:9" ht="25.5" customHeight="1" x14ac:dyDescent="0.2">
      <c r="A3572" s="27">
        <v>3570</v>
      </c>
      <c r="B3572" s="29" t="s">
        <v>740</v>
      </c>
      <c r="C3572" s="29" t="str">
        <f ca="1">IFERROR(__xludf.DUMMYFUNCTION("GOOGLETRANSLATE(C2331,""en"",""hr"")"),"Crijevo")</f>
        <v>Crijevo</v>
      </c>
      <c r="D3572" s="28" t="s">
        <v>11</v>
      </c>
      <c r="E3572" s="29">
        <v>1</v>
      </c>
      <c r="F3572" s="17"/>
    </row>
    <row r="3573" spans="1:9" ht="25.5" customHeight="1" x14ac:dyDescent="0.2">
      <c r="A3573" s="27">
        <v>3571</v>
      </c>
      <c r="B3573" s="29" t="s">
        <v>747</v>
      </c>
      <c r="C3573" s="29" t="str">
        <f ca="1">IFERROR(__xludf.DUMMYFUNCTION("GOOGLETRANSLATE(C2352,""en"",""hr"")"),"Crijevo")</f>
        <v>Crijevo</v>
      </c>
      <c r="D3573" s="28" t="s">
        <v>11</v>
      </c>
      <c r="E3573" s="29">
        <v>1</v>
      </c>
      <c r="F3573" s="17"/>
    </row>
    <row r="3574" spans="1:9" ht="25.5" customHeight="1" x14ac:dyDescent="0.2">
      <c r="A3574" s="27">
        <v>3572</v>
      </c>
      <c r="B3574" s="29" t="s">
        <v>746</v>
      </c>
      <c r="C3574" s="29" t="str">
        <f ca="1">IFERROR(__xludf.DUMMYFUNCTION("GOOGLETRANSLATE(C2351,""en"",""hr"")"),"Crijevo")</f>
        <v>Crijevo</v>
      </c>
      <c r="D3574" s="28" t="s">
        <v>11</v>
      </c>
      <c r="E3574" s="29">
        <v>1</v>
      </c>
      <c r="F3574" s="17"/>
    </row>
    <row r="3575" spans="1:9" ht="25.5" customHeight="1" x14ac:dyDescent="0.2">
      <c r="A3575" s="27">
        <v>3573</v>
      </c>
      <c r="B3575" s="29" t="s">
        <v>692</v>
      </c>
      <c r="C3575" s="29" t="str">
        <f ca="1">IFERROR(__xludf.DUMMYFUNCTION("GOOGLETRANSLATE(C2199,""en"",""hr"")"),"Hidraulično crijevo")</f>
        <v>Hidraulično crijevo</v>
      </c>
      <c r="D3575" s="28" t="s">
        <v>11</v>
      </c>
      <c r="E3575" s="29">
        <v>1</v>
      </c>
      <c r="F3575" s="17"/>
    </row>
    <row r="3576" spans="1:9" ht="25.5" customHeight="1" x14ac:dyDescent="0.2">
      <c r="A3576" s="27">
        <v>3574</v>
      </c>
      <c r="B3576" s="29" t="s">
        <v>749</v>
      </c>
      <c r="C3576" s="29" t="str">
        <f ca="1">IFERROR(__xludf.DUMMYFUNCTION("GOOGLETRANSLATE(C2355,""en"",""hr"")"),"Crijevo")</f>
        <v>Crijevo</v>
      </c>
      <c r="D3576" s="28" t="s">
        <v>11</v>
      </c>
      <c r="E3576" s="29">
        <v>1</v>
      </c>
      <c r="F3576" s="17"/>
    </row>
    <row r="3577" spans="1:9" ht="25.5" customHeight="1" x14ac:dyDescent="0.2">
      <c r="A3577" s="27">
        <v>3575</v>
      </c>
      <c r="B3577" s="29" t="s">
        <v>761</v>
      </c>
      <c r="C3577" s="29" t="str">
        <f ca="1">IFERROR(__xludf.DUMMYFUNCTION("GOOGLETRANSLATE(C2369,""en"",""hr"")"),"Crijevo")</f>
        <v>Crijevo</v>
      </c>
      <c r="D3577" s="28" t="s">
        <v>11</v>
      </c>
      <c r="E3577" s="29">
        <v>1</v>
      </c>
      <c r="F3577" s="17"/>
    </row>
    <row r="3578" spans="1:9" ht="25.5" customHeight="1" x14ac:dyDescent="0.2">
      <c r="A3578" s="27">
        <v>3576</v>
      </c>
      <c r="B3578" s="29" t="s">
        <v>762</v>
      </c>
      <c r="C3578" s="29" t="str">
        <f ca="1">IFERROR(__xludf.DUMMYFUNCTION("GOOGLETRANSLATE(C2370,""en"",""hr"")"),"Crijevo")</f>
        <v>Crijevo</v>
      </c>
      <c r="D3578" s="28" t="s">
        <v>11</v>
      </c>
      <c r="E3578" s="29">
        <v>1</v>
      </c>
      <c r="F3578" s="17"/>
    </row>
    <row r="3579" spans="1:9" ht="25.5" customHeight="1" x14ac:dyDescent="0.2">
      <c r="A3579" s="27">
        <v>3577</v>
      </c>
      <c r="B3579" s="29" t="s">
        <v>751</v>
      </c>
      <c r="C3579" s="29" t="str">
        <f ca="1">IFERROR(__xludf.DUMMYFUNCTION("GOOGLETRANSLATE(C2358,""en"",""hr"")"),"Crijevo")</f>
        <v>Crijevo</v>
      </c>
      <c r="D3579" s="28" t="s">
        <v>11</v>
      </c>
      <c r="E3579" s="29">
        <v>1</v>
      </c>
      <c r="F3579" s="17"/>
    </row>
    <row r="3580" spans="1:9" ht="25.5" customHeight="1" x14ac:dyDescent="0.2">
      <c r="A3580" s="27">
        <v>3578</v>
      </c>
      <c r="B3580" s="29" t="s">
        <v>1595</v>
      </c>
      <c r="C3580" s="29" t="str">
        <f ca="1">IFERROR(__xludf.DUMMYFUNCTION("GOOGLETRANSLATE(C5409,""en"",""hr"")"),"Hidraulično crijevo")</f>
        <v>Hidraulično crijevo</v>
      </c>
      <c r="D3580" s="28" t="s">
        <v>11</v>
      </c>
      <c r="E3580" s="29">
        <v>1</v>
      </c>
      <c r="F3580" s="17"/>
    </row>
    <row r="3581" spans="1:9" ht="25.5" customHeight="1" x14ac:dyDescent="0.2">
      <c r="A3581" s="27">
        <v>3579</v>
      </c>
      <c r="B3581" s="29" t="s">
        <v>1594</v>
      </c>
      <c r="C3581" s="29" t="str">
        <f ca="1">IFERROR(__xludf.DUMMYFUNCTION("GOOGLETRANSLATE(C5408,""en"",""hr"")"),"Hidraulično crijevo")</f>
        <v>Hidraulično crijevo</v>
      </c>
      <c r="D3581" s="28" t="s">
        <v>11</v>
      </c>
      <c r="E3581" s="29">
        <v>1</v>
      </c>
      <c r="F3581" s="17"/>
    </row>
    <row r="3582" spans="1:9" ht="25.5" customHeight="1" x14ac:dyDescent="0.2">
      <c r="A3582" s="27">
        <v>3580</v>
      </c>
      <c r="B3582" s="29" t="s">
        <v>1593</v>
      </c>
      <c r="C3582" s="29" t="str">
        <f ca="1">IFERROR(__xludf.DUMMYFUNCTION("GOOGLETRANSLATE(C5407,""en"",""hr"")"),"Hidraulično crijevo")</f>
        <v>Hidraulično crijevo</v>
      </c>
      <c r="D3582" s="28" t="s">
        <v>11</v>
      </c>
      <c r="E3582" s="29">
        <v>1</v>
      </c>
      <c r="F3582" s="17"/>
    </row>
    <row r="3583" spans="1:9" ht="25.5" customHeight="1" x14ac:dyDescent="0.2">
      <c r="A3583" s="27">
        <v>3581</v>
      </c>
      <c r="B3583" s="29" t="s">
        <v>1598</v>
      </c>
      <c r="C3583" s="29" t="str">
        <f ca="1">IFERROR(__xludf.DUMMYFUNCTION("GOOGLETRANSLATE(C5412,""en"",""hr"")"),"Hidraulično crijevo")</f>
        <v>Hidraulično crijevo</v>
      </c>
      <c r="D3583" s="28" t="s">
        <v>11</v>
      </c>
      <c r="E3583" s="29">
        <v>1</v>
      </c>
      <c r="F3583" s="17"/>
      <c r="I3583" s="4" t="b">
        <f>INT(F3581*100)=(F3581*100)</f>
        <v>1</v>
      </c>
    </row>
    <row r="3584" spans="1:9" ht="25.5" customHeight="1" x14ac:dyDescent="0.2">
      <c r="A3584" s="27">
        <v>3582</v>
      </c>
      <c r="B3584" s="29" t="s">
        <v>1597</v>
      </c>
      <c r="C3584" s="29" t="str">
        <f ca="1">IFERROR(__xludf.DUMMYFUNCTION("GOOGLETRANSLATE(C5411,""en"",""hr"")"),"Hidraulično crijevo")</f>
        <v>Hidraulično crijevo</v>
      </c>
      <c r="D3584" s="28" t="s">
        <v>11</v>
      </c>
      <c r="E3584" s="29">
        <v>1</v>
      </c>
      <c r="F3584" s="17"/>
    </row>
    <row r="3585" spans="1:9" ht="25.5" customHeight="1" x14ac:dyDescent="0.2">
      <c r="A3585" s="27">
        <v>3583</v>
      </c>
      <c r="B3585" s="29" t="s">
        <v>748</v>
      </c>
      <c r="C3585" s="29" t="str">
        <f ca="1">IFERROR(__xludf.DUMMYFUNCTION("GOOGLETRANSLATE(C2354,""en"",""hr"")"),"Crijevo")</f>
        <v>Crijevo</v>
      </c>
      <c r="D3585" s="28" t="s">
        <v>11</v>
      </c>
      <c r="E3585" s="29">
        <v>1</v>
      </c>
      <c r="F3585" s="17"/>
    </row>
    <row r="3586" spans="1:9" ht="25.5" customHeight="1" x14ac:dyDescent="0.2">
      <c r="A3586" s="27">
        <v>3584</v>
      </c>
      <c r="B3586" s="29" t="s">
        <v>1401</v>
      </c>
      <c r="C3586" s="29" t="str">
        <f ca="1">IFERROR(__xludf.DUMMYFUNCTION("GOOGLETRANSLATE(C4549,""en"",""hr"")"),"Crijevo")</f>
        <v>Crijevo</v>
      </c>
      <c r="D3586" s="28" t="s">
        <v>11</v>
      </c>
      <c r="E3586" s="29">
        <v>1</v>
      </c>
      <c r="F3586" s="17"/>
      <c r="I3586" s="4" t="b">
        <f>INT(F3584*100)=(F3584*100)</f>
        <v>1</v>
      </c>
    </row>
    <row r="3587" spans="1:9" ht="25.5" customHeight="1" x14ac:dyDescent="0.2">
      <c r="A3587" s="27">
        <v>3585</v>
      </c>
      <c r="B3587" s="29" t="s">
        <v>1408</v>
      </c>
      <c r="C3587" s="29" t="str">
        <f ca="1">IFERROR(__xludf.DUMMYFUNCTION("GOOGLETRANSLATE(C4563,""en"",""hr"")"),"Hidraulično crijevo")</f>
        <v>Hidraulično crijevo</v>
      </c>
      <c r="D3587" s="28" t="s">
        <v>11</v>
      </c>
      <c r="E3587" s="29">
        <v>1</v>
      </c>
      <c r="F3587" s="17"/>
    </row>
    <row r="3588" spans="1:9" ht="25.5" customHeight="1" x14ac:dyDescent="0.2">
      <c r="A3588" s="27">
        <v>3586</v>
      </c>
      <c r="B3588" s="29" t="s">
        <v>1409</v>
      </c>
      <c r="C3588" s="29" t="str">
        <f ca="1">IFERROR(__xludf.DUMMYFUNCTION("GOOGLETRANSLATE(C4578,""en"",""hr"")"),"Hidraulično crijevo")</f>
        <v>Hidraulično crijevo</v>
      </c>
      <c r="D3588" s="28" t="s">
        <v>11</v>
      </c>
      <c r="E3588" s="29">
        <v>1</v>
      </c>
      <c r="F3588" s="17"/>
    </row>
    <row r="3589" spans="1:9" ht="25.5" customHeight="1" x14ac:dyDescent="0.2">
      <c r="A3589" s="27">
        <v>3587</v>
      </c>
      <c r="B3589" s="29" t="s">
        <v>1415</v>
      </c>
      <c r="C3589" s="29" t="str">
        <f ca="1">IFERROR(__xludf.DUMMYFUNCTION("GOOGLETRANSLATE(C4593,""en"",""hr"")"),"Hidraulično crijevo")</f>
        <v>Hidraulično crijevo</v>
      </c>
      <c r="D3589" s="28" t="s">
        <v>11</v>
      </c>
      <c r="E3589" s="29">
        <v>1</v>
      </c>
      <c r="F3589" s="17"/>
    </row>
    <row r="3590" spans="1:9" ht="25.5" customHeight="1" x14ac:dyDescent="0.2">
      <c r="A3590" s="27">
        <v>3588</v>
      </c>
      <c r="B3590" s="29" t="s">
        <v>1413</v>
      </c>
      <c r="C3590" s="29" t="str">
        <f ca="1">IFERROR(__xludf.DUMMYFUNCTION("GOOGLETRANSLATE(C4590,""en"",""hr"")"),"Hidraulično crijevo")</f>
        <v>Hidraulično crijevo</v>
      </c>
      <c r="D3590" s="28" t="s">
        <v>11</v>
      </c>
      <c r="E3590" s="29">
        <v>1</v>
      </c>
      <c r="F3590" s="17"/>
      <c r="I3590" s="4" t="b">
        <f>INT(F3588*100)=(F3588*100)</f>
        <v>1</v>
      </c>
    </row>
    <row r="3591" spans="1:9" ht="25.5" customHeight="1" x14ac:dyDescent="0.2">
      <c r="A3591" s="27">
        <v>3589</v>
      </c>
      <c r="B3591" s="29" t="s">
        <v>1414</v>
      </c>
      <c r="C3591" s="29" t="str">
        <f ca="1">IFERROR(__xludf.DUMMYFUNCTION("GOOGLETRANSLATE(C4591,""en"",""hr"")"),"Hidraulično crijevo")</f>
        <v>Hidraulično crijevo</v>
      </c>
      <c r="D3591" s="28" t="s">
        <v>11</v>
      </c>
      <c r="E3591" s="29">
        <v>1</v>
      </c>
      <c r="F3591" s="17"/>
    </row>
    <row r="3592" spans="1:9" ht="25.5" customHeight="1" x14ac:dyDescent="0.2">
      <c r="A3592" s="27">
        <v>3590</v>
      </c>
      <c r="B3592" s="29" t="s">
        <v>928</v>
      </c>
      <c r="C3592" s="29" t="str">
        <f ca="1">IFERROR(__xludf.DUMMYFUNCTION("GOOGLETRANSLATE(C2795,""en"",""hr"")"),"Hidraulično crijevo")</f>
        <v>Hidraulično crijevo</v>
      </c>
      <c r="D3592" s="28" t="s">
        <v>11</v>
      </c>
      <c r="E3592" s="29">
        <v>1</v>
      </c>
      <c r="F3592" s="17"/>
    </row>
    <row r="3593" spans="1:9" ht="25.5" customHeight="1" x14ac:dyDescent="0.2">
      <c r="A3593" s="27">
        <v>3591</v>
      </c>
      <c r="B3593" s="29" t="s">
        <v>888</v>
      </c>
      <c r="C3593" s="29" t="str">
        <f ca="1">IFERROR(__xludf.DUMMYFUNCTION("GOOGLETRANSLATE(C2601,""en"",""hr"")"),"Crijevo")</f>
        <v>Crijevo</v>
      </c>
      <c r="D3593" s="28" t="s">
        <v>11</v>
      </c>
      <c r="E3593" s="29">
        <v>1</v>
      </c>
      <c r="F3593" s="17"/>
    </row>
    <row r="3594" spans="1:9" ht="25.5" customHeight="1" x14ac:dyDescent="0.2">
      <c r="A3594" s="27">
        <v>3592</v>
      </c>
      <c r="B3594" s="29" t="s">
        <v>944</v>
      </c>
      <c r="C3594" s="29" t="str">
        <f ca="1">IFERROR(__xludf.DUMMYFUNCTION("GOOGLETRANSLATE(C2992,""en"",""hr"")"),"Crijevo")</f>
        <v>Crijevo</v>
      </c>
      <c r="D3594" s="28" t="s">
        <v>11</v>
      </c>
      <c r="E3594" s="29">
        <v>1</v>
      </c>
      <c r="F3594" s="17"/>
    </row>
    <row r="3595" spans="1:9" ht="25.5" customHeight="1" x14ac:dyDescent="0.2">
      <c r="A3595" s="27">
        <v>3593</v>
      </c>
      <c r="B3595" s="29" t="s">
        <v>1426</v>
      </c>
      <c r="C3595" s="29" t="str">
        <f ca="1">IFERROR(__xludf.DUMMYFUNCTION("GOOGLETRANSLATE(C4635,""en"",""hr"")"),"Crijevo")</f>
        <v>Crijevo</v>
      </c>
      <c r="D3595" s="28" t="s">
        <v>11</v>
      </c>
      <c r="E3595" s="29">
        <v>1</v>
      </c>
      <c r="F3595" s="17"/>
    </row>
    <row r="3596" spans="1:9" ht="25.5" customHeight="1" x14ac:dyDescent="0.2">
      <c r="A3596" s="27">
        <v>3594</v>
      </c>
      <c r="B3596" s="29" t="s">
        <v>1047</v>
      </c>
      <c r="C3596" s="29" t="str">
        <f ca="1">IFERROR(__xludf.DUMMYFUNCTION("GOOGLETRANSLATE(C3431,""en"",""hr"")"),"Crijevo")</f>
        <v>Crijevo</v>
      </c>
      <c r="D3596" s="28" t="s">
        <v>11</v>
      </c>
      <c r="E3596" s="29">
        <v>1</v>
      </c>
      <c r="F3596" s="17"/>
    </row>
    <row r="3597" spans="1:9" ht="25.5" customHeight="1" x14ac:dyDescent="0.2">
      <c r="A3597" s="27">
        <v>3595</v>
      </c>
      <c r="B3597" s="29" t="s">
        <v>1046</v>
      </c>
      <c r="C3597" s="29" t="str">
        <f ca="1">IFERROR(__xludf.DUMMYFUNCTION("GOOGLETRANSLATE(C3430,""en"",""hr"")"),"Crijevo")</f>
        <v>Crijevo</v>
      </c>
      <c r="D3597" s="28" t="s">
        <v>11</v>
      </c>
      <c r="E3597" s="29">
        <v>1</v>
      </c>
      <c r="F3597" s="17"/>
    </row>
    <row r="3598" spans="1:9" ht="25.5" customHeight="1" x14ac:dyDescent="0.2">
      <c r="A3598" s="27">
        <v>3596</v>
      </c>
      <c r="B3598" s="29" t="s">
        <v>1235</v>
      </c>
      <c r="C3598" s="29" t="str">
        <f ca="1">IFERROR(__xludf.DUMMYFUNCTION("GOOGLETRANSLATE(C3925,""en"",""hr"")"),"Crijevo")</f>
        <v>Crijevo</v>
      </c>
      <c r="D3598" s="28" t="s">
        <v>11</v>
      </c>
      <c r="E3598" s="29">
        <v>1</v>
      </c>
      <c r="F3598" s="17"/>
    </row>
    <row r="3599" spans="1:9" ht="25.5" customHeight="1" x14ac:dyDescent="0.2">
      <c r="A3599" s="27">
        <v>3597</v>
      </c>
      <c r="B3599" s="29" t="s">
        <v>1337</v>
      </c>
      <c r="C3599" s="29" t="str">
        <f ca="1">IFERROR(__xludf.DUMMYFUNCTION("GOOGLETRANSLATE(C4205,""en"",""hr"")"),"Crijevo")</f>
        <v>Crijevo</v>
      </c>
      <c r="D3599" s="28" t="s">
        <v>11</v>
      </c>
      <c r="E3599" s="29">
        <v>1</v>
      </c>
      <c r="F3599" s="17"/>
    </row>
    <row r="3600" spans="1:9" ht="25.5" customHeight="1" x14ac:dyDescent="0.2">
      <c r="A3600" s="27">
        <v>3598</v>
      </c>
      <c r="B3600" s="29" t="s">
        <v>1233</v>
      </c>
      <c r="C3600" s="29" t="str">
        <f ca="1">IFERROR(__xludf.DUMMYFUNCTION("GOOGLETRANSLATE(C3921,""en"",""hr"")"),"Crijevo")</f>
        <v>Crijevo</v>
      </c>
      <c r="D3600" s="28" t="s">
        <v>11</v>
      </c>
      <c r="E3600" s="29">
        <v>1</v>
      </c>
      <c r="F3600" s="17"/>
    </row>
    <row r="3601" spans="1:9" ht="25.5" customHeight="1" x14ac:dyDescent="0.2">
      <c r="A3601" s="27">
        <v>3599</v>
      </c>
      <c r="B3601" s="29" t="s">
        <v>1305</v>
      </c>
      <c r="C3601" s="29" t="str">
        <f ca="1">IFERROR(__xludf.DUMMYFUNCTION("GOOGLETRANSLATE(C4121,""en"",""hr"")"),"Hidraulično crijevo")</f>
        <v>Hidraulično crijevo</v>
      </c>
      <c r="D3601" s="28" t="s">
        <v>11</v>
      </c>
      <c r="E3601" s="29">
        <v>1</v>
      </c>
      <c r="F3601" s="17"/>
    </row>
    <row r="3602" spans="1:9" ht="25.5" customHeight="1" x14ac:dyDescent="0.2">
      <c r="A3602" s="27">
        <v>3600</v>
      </c>
      <c r="B3602" s="29" t="s">
        <v>1306</v>
      </c>
      <c r="C3602" s="29" t="str">
        <f ca="1">IFERROR(__xludf.DUMMYFUNCTION("GOOGLETRANSLATE(C4122,""en"",""hr"")"),"Hidraulično crijevo")</f>
        <v>Hidraulično crijevo</v>
      </c>
      <c r="D3602" s="28" t="s">
        <v>11</v>
      </c>
      <c r="E3602" s="29">
        <v>1</v>
      </c>
      <c r="F3602" s="17"/>
    </row>
    <row r="3603" spans="1:9" ht="25.5" customHeight="1" x14ac:dyDescent="0.2">
      <c r="A3603" s="27">
        <v>3601</v>
      </c>
      <c r="B3603" s="29" t="s">
        <v>406</v>
      </c>
      <c r="C3603" s="29" t="str">
        <f ca="1">IFERROR(__xludf.DUMMYFUNCTION("GOOGLETRANSLATE(C951,""en"",""hr"")"),"Crijevo")</f>
        <v>Crijevo</v>
      </c>
      <c r="D3603" s="28" t="s">
        <v>11</v>
      </c>
      <c r="E3603" s="29">
        <v>1</v>
      </c>
      <c r="F3603" s="17"/>
    </row>
    <row r="3604" spans="1:9" ht="25.5" customHeight="1" x14ac:dyDescent="0.2">
      <c r="A3604" s="27">
        <v>3602</v>
      </c>
      <c r="B3604" s="29" t="s">
        <v>197</v>
      </c>
      <c r="C3604" s="29" t="str">
        <f ca="1">IFERROR(__xludf.DUMMYFUNCTION("GOOGLETRANSLATE(C426,""en"",""hr"")"),"Crijevo")</f>
        <v>Crijevo</v>
      </c>
      <c r="D3604" s="28" t="s">
        <v>11</v>
      </c>
      <c r="E3604" s="29">
        <v>1</v>
      </c>
      <c r="F3604" s="17"/>
    </row>
    <row r="3605" spans="1:9" ht="25.5" customHeight="1" x14ac:dyDescent="0.2">
      <c r="A3605" s="27">
        <v>3603</v>
      </c>
      <c r="B3605" s="29" t="s">
        <v>1718</v>
      </c>
      <c r="C3605" s="29" t="str">
        <f ca="1">IFERROR(__xludf.DUMMYFUNCTION("GOOGLETRANSLATE(C5960,""en"",""hr"")"),"Crijevo")</f>
        <v>Crijevo</v>
      </c>
      <c r="D3605" s="28" t="s">
        <v>11</v>
      </c>
      <c r="E3605" s="29">
        <v>1</v>
      </c>
      <c r="F3605" s="17"/>
    </row>
    <row r="3606" spans="1:9" ht="25.5" customHeight="1" x14ac:dyDescent="0.2">
      <c r="A3606" s="27">
        <v>3604</v>
      </c>
      <c r="B3606" s="29" t="s">
        <v>1732</v>
      </c>
      <c r="C3606" s="29" t="str">
        <f ca="1">IFERROR(__xludf.DUMMYFUNCTION("GOOGLETRANSLATE(C6023,""en"",""hr"")"),"Hidraulično crijevo")</f>
        <v>Hidraulično crijevo</v>
      </c>
      <c r="D3606" s="28" t="s">
        <v>11</v>
      </c>
      <c r="E3606" s="29">
        <v>1</v>
      </c>
      <c r="F3606" s="17"/>
    </row>
    <row r="3607" spans="1:9" ht="25.5" customHeight="1" x14ac:dyDescent="0.2">
      <c r="A3607" s="27">
        <v>3605</v>
      </c>
      <c r="B3607" s="29" t="s">
        <v>1712</v>
      </c>
      <c r="C3607" s="29" t="str">
        <f ca="1">IFERROR(__xludf.DUMMYFUNCTION("GOOGLETRANSLATE(C5948,""en"",""hr"")"),"Crijevo")</f>
        <v>Crijevo</v>
      </c>
      <c r="D3607" s="28" t="s">
        <v>11</v>
      </c>
      <c r="E3607" s="29">
        <v>1</v>
      </c>
      <c r="F3607" s="17"/>
      <c r="I3607" s="4" t="b">
        <f>INT(F3252*100)=(F3252*100)</f>
        <v>1</v>
      </c>
    </row>
    <row r="3608" spans="1:9" ht="25.5" customHeight="1" x14ac:dyDescent="0.2">
      <c r="A3608" s="27">
        <v>3606</v>
      </c>
      <c r="B3608" s="29" t="s">
        <v>1713</v>
      </c>
      <c r="C3608" s="29" t="str">
        <f ca="1">IFERROR(__xludf.DUMMYFUNCTION("GOOGLETRANSLATE(C5949,""en"",""hr"")"),"Crijevo")</f>
        <v>Crijevo</v>
      </c>
      <c r="D3608" s="28" t="s">
        <v>11</v>
      </c>
      <c r="E3608" s="29">
        <v>1</v>
      </c>
      <c r="F3608" s="17"/>
    </row>
    <row r="3609" spans="1:9" ht="25.5" customHeight="1" x14ac:dyDescent="0.2">
      <c r="A3609" s="27">
        <v>3607</v>
      </c>
      <c r="B3609" s="29" t="s">
        <v>1711</v>
      </c>
      <c r="C3609" s="29" t="str">
        <f ca="1">IFERROR(__xludf.DUMMYFUNCTION("GOOGLETRANSLATE(C5946,""en"",""hr"")"),"Crijevo")</f>
        <v>Crijevo</v>
      </c>
      <c r="D3609" s="28" t="s">
        <v>11</v>
      </c>
      <c r="E3609" s="29">
        <v>1</v>
      </c>
      <c r="F3609" s="17"/>
    </row>
    <row r="3610" spans="1:9" ht="25.5" customHeight="1" x14ac:dyDescent="0.2">
      <c r="A3610" s="27">
        <v>3608</v>
      </c>
      <c r="B3610" s="29" t="s">
        <v>1670</v>
      </c>
      <c r="C3610" s="29" t="str">
        <f ca="1">IFERROR(__xludf.DUMMYFUNCTION("GOOGLETRANSLATE(C5767,""en"",""hr"")"),"Crijevo")</f>
        <v>Crijevo</v>
      </c>
      <c r="D3610" s="28" t="s">
        <v>11</v>
      </c>
      <c r="E3610" s="29">
        <v>1</v>
      </c>
      <c r="F3610" s="17"/>
    </row>
    <row r="3611" spans="1:9" ht="25.5" customHeight="1" x14ac:dyDescent="0.2">
      <c r="A3611" s="27">
        <v>3609</v>
      </c>
      <c r="B3611" s="29" t="s">
        <v>1334</v>
      </c>
      <c r="C3611" s="29" t="str">
        <f ca="1">IFERROR(__xludf.DUMMYFUNCTION("GOOGLETRANSLATE(C4200,""en"",""hr"")"),"Hidraulično crijevo")</f>
        <v>Hidraulično crijevo</v>
      </c>
      <c r="D3611" s="28" t="s">
        <v>11</v>
      </c>
      <c r="E3611" s="29">
        <v>1</v>
      </c>
      <c r="F3611" s="17"/>
      <c r="I3611" s="4" t="b">
        <f>INT(F3609*100)=(F3609*100)</f>
        <v>1</v>
      </c>
    </row>
    <row r="3612" spans="1:9" ht="25.5" customHeight="1" x14ac:dyDescent="0.2">
      <c r="A3612" s="27">
        <v>3610</v>
      </c>
      <c r="B3612" s="29" t="s">
        <v>48</v>
      </c>
      <c r="C3612" s="29" t="str">
        <f ca="1">IFERROR(__xludf.DUMMYFUNCTION("GOOGLETRANSLATE(C77,""en"",""hr"")"),"Četka (čelik/plastika) ""One Way""")</f>
        <v>Četka (čelik/plastika) "One Way"</v>
      </c>
      <c r="D3612" s="28" t="s">
        <v>11</v>
      </c>
      <c r="E3612" s="29">
        <v>1</v>
      </c>
      <c r="F3612" s="17"/>
    </row>
    <row r="3613" spans="1:9" ht="25.5" customHeight="1" x14ac:dyDescent="0.2">
      <c r="A3613" s="27">
        <v>3611</v>
      </c>
      <c r="B3613" s="29" t="s">
        <v>49</v>
      </c>
      <c r="C3613" s="29" t="str">
        <f ca="1">IFERROR(__xludf.DUMMYFUNCTION("GOOGLETRANSLATE(C78,""en"",""hr"")"),"Četka (čelik/plastika) ""One Way"" Silent")</f>
        <v>Četka (čelik/plastika) "One Way" Silent</v>
      </c>
      <c r="D3613" s="28" t="s">
        <v>11</v>
      </c>
      <c r="E3613" s="29">
        <v>1</v>
      </c>
      <c r="F3613" s="17"/>
    </row>
    <row r="3614" spans="1:9" ht="25.5" customHeight="1" x14ac:dyDescent="0.2">
      <c r="A3614" s="27">
        <v>3612</v>
      </c>
      <c r="B3614" s="29" t="s">
        <v>50</v>
      </c>
      <c r="C3614" s="29" t="str">
        <f ca="1">IFERROR(__xludf.DUMMYFUNCTION("GOOGLETRANSLATE(C79,""en"",""hr"")"),"Četka (čelični okvir) ""One Way""")</f>
        <v>Četka (čelični okvir) "One Way"</v>
      </c>
      <c r="D3614" s="28" t="s">
        <v>11</v>
      </c>
      <c r="E3614" s="29">
        <v>1</v>
      </c>
      <c r="F3614" s="17"/>
    </row>
    <row r="3615" spans="1:9" ht="25.5" customHeight="1" x14ac:dyDescent="0.2">
      <c r="A3615" s="27">
        <v>3613</v>
      </c>
      <c r="B3615" s="29" t="s">
        <v>827</v>
      </c>
      <c r="C3615" s="29" t="str">
        <f ca="1">IFERROR(__xludf.DUMMYFUNCTION("GOOGLETRANSLATE(C2485,""en"",""hr"")"),"Čahura")</f>
        <v>Čahura</v>
      </c>
      <c r="D3615" s="28" t="s">
        <v>11</v>
      </c>
      <c r="E3615" s="29">
        <v>1</v>
      </c>
      <c r="F3615" s="17"/>
    </row>
    <row r="3616" spans="1:9" ht="25.5" customHeight="1" x14ac:dyDescent="0.2">
      <c r="A3616" s="27">
        <v>3614</v>
      </c>
      <c r="B3616" s="29" t="s">
        <v>837</v>
      </c>
      <c r="C3616" s="29" t="str">
        <f ca="1">IFERROR(__xludf.DUMMYFUNCTION("GOOGLETRANSLATE(C2500,""en"",""hr"")"),"Proljeće")</f>
        <v>Proljeće</v>
      </c>
      <c r="D3616" s="28" t="s">
        <v>11</v>
      </c>
      <c r="E3616" s="29">
        <v>1</v>
      </c>
      <c r="F3616" s="17"/>
    </row>
    <row r="3617" spans="1:9" ht="25.5" customHeight="1" x14ac:dyDescent="0.2">
      <c r="A3617" s="27">
        <v>3615</v>
      </c>
      <c r="B3617" s="29" t="s">
        <v>836</v>
      </c>
      <c r="C3617" s="29" t="str">
        <f ca="1">IFERROR(__xludf.DUMMYFUNCTION("GOOGLETRANSLATE(C2499,""en"",""hr"")"),"Štap")</f>
        <v>Štap</v>
      </c>
      <c r="D3617" s="28" t="s">
        <v>11</v>
      </c>
      <c r="E3617" s="29">
        <v>1</v>
      </c>
      <c r="F3617" s="17"/>
    </row>
    <row r="3618" spans="1:9" ht="25.5" customHeight="1" x14ac:dyDescent="0.2">
      <c r="A3618" s="27">
        <v>3616</v>
      </c>
      <c r="B3618" s="29" t="s">
        <v>607</v>
      </c>
      <c r="C3618" s="29" t="str">
        <f ca="1">IFERROR(__xludf.DUMMYFUNCTION("GOOGLETRANSLATE(C1881,""en"",""hr"")"),"Napetost opruge")</f>
        <v>Napetost opruge</v>
      </c>
      <c r="D3618" s="28" t="s">
        <v>11</v>
      </c>
      <c r="E3618" s="29">
        <v>1</v>
      </c>
      <c r="F3618" s="17"/>
    </row>
    <row r="3619" spans="1:9" ht="25.5" customHeight="1" x14ac:dyDescent="0.2">
      <c r="A3619" s="27">
        <v>3617</v>
      </c>
      <c r="B3619" s="29" t="s">
        <v>903</v>
      </c>
      <c r="C3619" s="29" t="str">
        <f ca="1">IFERROR(__xludf.DUMMYFUNCTION("GOOGLETRANSLATE(C2675,""en"",""hr"")"),"Gumeni tampon")</f>
        <v>Gumeni tampon</v>
      </c>
      <c r="D3619" s="28" t="s">
        <v>11</v>
      </c>
      <c r="E3619" s="29">
        <v>1</v>
      </c>
      <c r="F3619" s="17"/>
    </row>
    <row r="3620" spans="1:9" ht="25.5" customHeight="1" x14ac:dyDescent="0.2">
      <c r="A3620" s="27">
        <v>3618</v>
      </c>
      <c r="B3620" s="29" t="s">
        <v>819</v>
      </c>
      <c r="C3620" s="29" t="str">
        <f ca="1">IFERROR(__xludf.DUMMYFUNCTION("GOOGLETRANSLATE(C2472,""en"",""hr"")"),"Proljeće")</f>
        <v>Proljeće</v>
      </c>
      <c r="D3620" s="28" t="s">
        <v>11</v>
      </c>
      <c r="E3620" s="29">
        <v>1</v>
      </c>
      <c r="F3620" s="17"/>
    </row>
    <row r="3621" spans="1:9" ht="25.5" customHeight="1" x14ac:dyDescent="0.2">
      <c r="A3621" s="27">
        <v>3619</v>
      </c>
      <c r="B3621" s="29" t="s">
        <v>809</v>
      </c>
      <c r="C3621" s="29" t="str">
        <f ca="1">IFERROR(__xludf.DUMMYFUNCTION("GOOGLETRANSLATE(C2455,""en"",""hr"")"),"Disk udaljenosti")</f>
        <v>Disk udaljenosti</v>
      </c>
      <c r="D3621" s="28" t="s">
        <v>11</v>
      </c>
      <c r="E3621" s="29">
        <v>1</v>
      </c>
      <c r="F3621" s="17"/>
    </row>
    <row r="3622" spans="1:9" ht="25.5" customHeight="1" x14ac:dyDescent="0.2">
      <c r="A3622" s="27">
        <v>3620</v>
      </c>
      <c r="B3622" s="29" t="s">
        <v>1352</v>
      </c>
      <c r="C3622" s="29" t="str">
        <f ca="1">IFERROR(__xludf.DUMMYFUNCTION("GOOGLETRANSLATE(C4289,""en"",""hr"")"),"Restriktor")</f>
        <v>Restriktor</v>
      </c>
      <c r="D3622" s="28" t="s">
        <v>11</v>
      </c>
      <c r="E3622" s="29">
        <v>1</v>
      </c>
      <c r="F3622" s="17"/>
    </row>
    <row r="3623" spans="1:9" ht="25.5" customHeight="1" x14ac:dyDescent="0.2">
      <c r="A3623" s="27">
        <v>3621</v>
      </c>
      <c r="B3623" s="29" t="s">
        <v>325</v>
      </c>
      <c r="C3623" s="29" t="str">
        <f ca="1">IFERROR(__xludf.DUMMYFUNCTION("GOOGLETRANSLATE(C734,""en"",""hr"")"),"Vijčani čep")</f>
        <v>Vijčani čep</v>
      </c>
      <c r="D3623" s="28" t="s">
        <v>11</v>
      </c>
      <c r="E3623" s="29">
        <v>1</v>
      </c>
      <c r="F3623" s="17"/>
    </row>
    <row r="3624" spans="1:9" ht="25.5" customHeight="1" x14ac:dyDescent="0.2">
      <c r="A3624" s="27">
        <v>3622</v>
      </c>
      <c r="B3624" s="29" t="s">
        <v>606</v>
      </c>
      <c r="C3624" s="29" t="str">
        <f ca="1">IFERROR(__xludf.DUMMYFUNCTION("GOOGLETRANSLATE(C1880,""en"",""hr"")"),"Sklop cilindra za podizanje")</f>
        <v>Sklop cilindra za podizanje</v>
      </c>
      <c r="D3624" s="28" t="s">
        <v>11</v>
      </c>
      <c r="E3624" s="29">
        <v>1</v>
      </c>
      <c r="F3624" s="17"/>
    </row>
    <row r="3625" spans="1:9" ht="25.5" customHeight="1" x14ac:dyDescent="0.2">
      <c r="A3625" s="27">
        <v>3623</v>
      </c>
      <c r="B3625" s="29" t="s">
        <v>1048</v>
      </c>
      <c r="C3625" s="29" t="str">
        <f ca="1">IFERROR(__xludf.DUMMYFUNCTION("GOOGLETRANSLATE(C3433,""en"",""hr"")"),"Prirubnica")</f>
        <v>Prirubnica</v>
      </c>
      <c r="D3625" s="28" t="s">
        <v>11</v>
      </c>
      <c r="E3625" s="29">
        <v>1</v>
      </c>
      <c r="F3625" s="17"/>
    </row>
    <row r="3626" spans="1:9" ht="25.5" customHeight="1" x14ac:dyDescent="0.2">
      <c r="A3626" s="27">
        <v>3624</v>
      </c>
      <c r="B3626" s="29" t="s">
        <v>1034</v>
      </c>
      <c r="C3626" s="29" t="str">
        <f ca="1">IFERROR(__xludf.DUMMYFUNCTION("GOOGLETRANSLATE(C3367,""en"",""hr"")"),"brtva")</f>
        <v>brtva</v>
      </c>
      <c r="D3626" s="28" t="s">
        <v>11</v>
      </c>
      <c r="E3626" s="29">
        <v>1</v>
      </c>
      <c r="F3626" s="17"/>
    </row>
    <row r="3627" spans="1:9" ht="25.5" customHeight="1" x14ac:dyDescent="0.2">
      <c r="A3627" s="27">
        <v>3625</v>
      </c>
      <c r="B3627" s="29" t="s">
        <v>1049</v>
      </c>
      <c r="C3627" s="29" t="str">
        <f ca="1">IFERROR(__xludf.DUMMYFUNCTION("GOOGLETRANSLATE(C3434,""en"",""hr"")"),"Poklopac")</f>
        <v>Poklopac</v>
      </c>
      <c r="D3627" s="28" t="s">
        <v>11</v>
      </c>
      <c r="E3627" s="29">
        <v>1</v>
      </c>
      <c r="F3627" s="17"/>
    </row>
    <row r="3628" spans="1:9" ht="25.5" customHeight="1" x14ac:dyDescent="0.2">
      <c r="A3628" s="27">
        <v>3626</v>
      </c>
      <c r="B3628" s="29" t="s">
        <v>1896</v>
      </c>
      <c r="C3628" s="29" t="str">
        <f ca="1">IFERROR(__xludf.DUMMYFUNCTION("GOOGLETRANSLATE(C6619,""en"",""hr"")"),"Cijev za punjenje cpl.")</f>
        <v>Cijev za punjenje cpl.</v>
      </c>
      <c r="D3628" s="28" t="s">
        <v>11</v>
      </c>
      <c r="E3628" s="29">
        <v>1</v>
      </c>
      <c r="F3628" s="17"/>
    </row>
    <row r="3629" spans="1:9" ht="25.5" customHeight="1" x14ac:dyDescent="0.2">
      <c r="A3629" s="27">
        <v>3627</v>
      </c>
      <c r="B3629" s="29" t="s">
        <v>1901</v>
      </c>
      <c r="C3629" s="29" t="str">
        <f ca="1">IFERROR(__xludf.DUMMYFUNCTION("GOOGLETRANSLATE(C6631,""en"",""hr"")"),"Pištolj za podmazivanje kpl.")</f>
        <v>Pištolj za podmazivanje kpl.</v>
      </c>
      <c r="D3629" s="28" t="s">
        <v>11</v>
      </c>
      <c r="E3629" s="29">
        <v>1</v>
      </c>
      <c r="F3629" s="17"/>
    </row>
    <row r="3630" spans="1:9" ht="25.5" customHeight="1" x14ac:dyDescent="0.2">
      <c r="A3630" s="27">
        <v>3628</v>
      </c>
      <c r="B3630" s="29" t="s">
        <v>2029</v>
      </c>
      <c r="C3630" s="29" t="s">
        <v>2030</v>
      </c>
      <c r="D3630" s="28" t="s">
        <v>11</v>
      </c>
      <c r="E3630" s="29">
        <v>1</v>
      </c>
      <c r="F3630" s="17"/>
      <c r="I3630" s="4" t="b">
        <f>INT(F3628*100)=(F3628*100)</f>
        <v>1</v>
      </c>
    </row>
    <row r="3631" spans="1:9" ht="25.5" customHeight="1" x14ac:dyDescent="0.2">
      <c r="A3631" s="27">
        <v>3629</v>
      </c>
      <c r="B3631" s="29" t="s">
        <v>2031</v>
      </c>
      <c r="C3631" s="30" t="s">
        <v>2032</v>
      </c>
      <c r="D3631" s="28" t="s">
        <v>11</v>
      </c>
      <c r="E3631" s="29">
        <v>1</v>
      </c>
      <c r="F3631" s="17"/>
    </row>
    <row r="3632" spans="1:9" ht="25.5" customHeight="1" x14ac:dyDescent="0.2">
      <c r="A3632" s="27">
        <v>3630</v>
      </c>
      <c r="B3632" s="29" t="s">
        <v>2033</v>
      </c>
      <c r="C3632" s="30" t="s">
        <v>2034</v>
      </c>
      <c r="D3632" s="28" t="s">
        <v>11</v>
      </c>
      <c r="E3632" s="29">
        <v>1</v>
      </c>
      <c r="F3632" s="17"/>
    </row>
    <row r="3633" spans="1:9" ht="25.5" customHeight="1" x14ac:dyDescent="0.2">
      <c r="A3633" s="27">
        <v>3631</v>
      </c>
      <c r="B3633" s="29" t="s">
        <v>2035</v>
      </c>
      <c r="C3633" s="30" t="s">
        <v>2036</v>
      </c>
      <c r="D3633" s="28" t="s">
        <v>11</v>
      </c>
      <c r="E3633" s="29">
        <v>1</v>
      </c>
      <c r="F3633" s="17"/>
      <c r="I3633" s="4" t="b">
        <f>INT(F3631*100)=(F3631*100)</f>
        <v>1</v>
      </c>
    </row>
    <row r="3634" spans="1:9" ht="25.5" customHeight="1" x14ac:dyDescent="0.2">
      <c r="A3634" s="27">
        <v>3632</v>
      </c>
      <c r="B3634" s="29" t="s">
        <v>2037</v>
      </c>
      <c r="C3634" s="30" t="s">
        <v>2038</v>
      </c>
      <c r="D3634" s="28" t="s">
        <v>11</v>
      </c>
      <c r="E3634" s="29">
        <v>1</v>
      </c>
      <c r="F3634" s="17"/>
    </row>
    <row r="3635" spans="1:9" ht="25.5" customHeight="1" x14ac:dyDescent="0.2">
      <c r="A3635" s="27">
        <v>3633</v>
      </c>
      <c r="B3635" s="29" t="s">
        <v>2039</v>
      </c>
      <c r="C3635" s="30" t="s">
        <v>2040</v>
      </c>
      <c r="D3635" s="28" t="s">
        <v>11</v>
      </c>
      <c r="E3635" s="29">
        <v>1</v>
      </c>
      <c r="F3635" s="17"/>
    </row>
    <row r="3636" spans="1:9" ht="25.5" customHeight="1" x14ac:dyDescent="0.2">
      <c r="A3636" s="27">
        <v>3634</v>
      </c>
      <c r="B3636" s="29" t="s">
        <v>2041</v>
      </c>
      <c r="C3636" s="30" t="s">
        <v>2042</v>
      </c>
      <c r="D3636" s="28" t="s">
        <v>11</v>
      </c>
      <c r="E3636" s="29">
        <v>1</v>
      </c>
      <c r="F3636" s="17"/>
    </row>
    <row r="3637" spans="1:9" ht="25.5" customHeight="1" x14ac:dyDescent="0.2">
      <c r="A3637" s="27">
        <v>3635</v>
      </c>
      <c r="B3637" s="29">
        <v>35242033</v>
      </c>
      <c r="C3637" s="30" t="s">
        <v>2043</v>
      </c>
      <c r="D3637" s="28" t="s">
        <v>11</v>
      </c>
      <c r="E3637" s="29">
        <v>1</v>
      </c>
      <c r="F3637" s="17"/>
      <c r="I3637" s="4" t="b">
        <f>INT(F3635*100)=(F3635*100)</f>
        <v>1</v>
      </c>
    </row>
    <row r="3638" spans="1:9" ht="25.5" customHeight="1" x14ac:dyDescent="0.2">
      <c r="A3638" s="27">
        <v>3636</v>
      </c>
      <c r="B3638" s="29" t="s">
        <v>2044</v>
      </c>
      <c r="C3638" s="30" t="s">
        <v>2045</v>
      </c>
      <c r="D3638" s="28" t="s">
        <v>11</v>
      </c>
      <c r="E3638" s="29">
        <v>1</v>
      </c>
      <c r="F3638" s="17"/>
    </row>
    <row r="3639" spans="1:9" ht="25.5" customHeight="1" x14ac:dyDescent="0.2">
      <c r="A3639" s="27">
        <v>3637</v>
      </c>
      <c r="B3639" s="29" t="s">
        <v>2046</v>
      </c>
      <c r="C3639" s="30" t="s">
        <v>2047</v>
      </c>
      <c r="D3639" s="28" t="s">
        <v>11</v>
      </c>
      <c r="E3639" s="29">
        <v>1</v>
      </c>
      <c r="F3639" s="17"/>
    </row>
    <row r="3640" spans="1:9" ht="25.5" customHeight="1" x14ac:dyDescent="0.2">
      <c r="A3640" s="27">
        <v>3638</v>
      </c>
      <c r="B3640" s="29" t="s">
        <v>2048</v>
      </c>
      <c r="C3640" s="30" t="s">
        <v>2049</v>
      </c>
      <c r="D3640" s="28" t="s">
        <v>11</v>
      </c>
      <c r="E3640" s="29">
        <v>1</v>
      </c>
      <c r="F3640" s="17"/>
    </row>
    <row r="3641" spans="1:9" ht="25.5" customHeight="1" x14ac:dyDescent="0.2">
      <c r="A3641" s="27">
        <v>3639</v>
      </c>
      <c r="B3641" s="29" t="s">
        <v>2050</v>
      </c>
      <c r="C3641" s="30" t="s">
        <v>2051</v>
      </c>
      <c r="D3641" s="28" t="s">
        <v>11</v>
      </c>
      <c r="E3641" s="29">
        <v>1</v>
      </c>
      <c r="F3641" s="17"/>
    </row>
    <row r="3642" spans="1:9" ht="25.5" customHeight="1" x14ac:dyDescent="0.2">
      <c r="A3642" s="27">
        <v>3640</v>
      </c>
      <c r="B3642" s="29" t="s">
        <v>2052</v>
      </c>
      <c r="C3642" s="30" t="s">
        <v>2053</v>
      </c>
      <c r="D3642" s="28" t="s">
        <v>11</v>
      </c>
      <c r="E3642" s="29">
        <v>1</v>
      </c>
      <c r="F3642" s="17"/>
    </row>
    <row r="3643" spans="1:9" ht="25.5" customHeight="1" x14ac:dyDescent="0.2">
      <c r="A3643" s="27">
        <v>3641</v>
      </c>
      <c r="B3643" s="29" t="s">
        <v>2054</v>
      </c>
      <c r="C3643" s="30" t="s">
        <v>2055</v>
      </c>
      <c r="D3643" s="28" t="s">
        <v>11</v>
      </c>
      <c r="E3643" s="29">
        <v>1</v>
      </c>
      <c r="F3643" s="17"/>
    </row>
    <row r="3644" spans="1:9" ht="25.5" customHeight="1" x14ac:dyDescent="0.2">
      <c r="A3644" s="27">
        <v>3642</v>
      </c>
      <c r="B3644" s="29" t="s">
        <v>2056</v>
      </c>
      <c r="C3644" s="30" t="s">
        <v>2057</v>
      </c>
      <c r="D3644" s="28" t="s">
        <v>11</v>
      </c>
      <c r="E3644" s="29">
        <v>1</v>
      </c>
      <c r="F3644" s="17"/>
    </row>
    <row r="3645" spans="1:9" ht="25.5" customHeight="1" x14ac:dyDescent="0.2">
      <c r="A3645" s="27">
        <v>3643</v>
      </c>
      <c r="B3645" s="29" t="s">
        <v>2058</v>
      </c>
      <c r="C3645" s="30" t="s">
        <v>2059</v>
      </c>
      <c r="D3645" s="28" t="s">
        <v>11</v>
      </c>
      <c r="E3645" s="29">
        <v>1</v>
      </c>
      <c r="F3645" s="17"/>
    </row>
    <row r="3646" spans="1:9" ht="25.5" customHeight="1" x14ac:dyDescent="0.2">
      <c r="A3646" s="27">
        <v>3644</v>
      </c>
      <c r="B3646" s="29" t="s">
        <v>2060</v>
      </c>
      <c r="C3646" s="30" t="s">
        <v>2061</v>
      </c>
      <c r="D3646" s="28" t="s">
        <v>11</v>
      </c>
      <c r="E3646" s="29">
        <v>1</v>
      </c>
      <c r="F3646" s="17"/>
    </row>
    <row r="3647" spans="1:9" ht="25.5" customHeight="1" x14ac:dyDescent="0.2">
      <c r="A3647" s="27">
        <v>3645</v>
      </c>
      <c r="B3647" s="29" t="s">
        <v>2062</v>
      </c>
      <c r="C3647" s="30" t="s">
        <v>2063</v>
      </c>
      <c r="D3647" s="28" t="s">
        <v>11</v>
      </c>
      <c r="E3647" s="29">
        <v>1</v>
      </c>
      <c r="F3647" s="17"/>
    </row>
    <row r="3648" spans="1:9" ht="25.5" customHeight="1" x14ac:dyDescent="0.2">
      <c r="A3648" s="27">
        <v>3646</v>
      </c>
      <c r="B3648" s="29" t="s">
        <v>2064</v>
      </c>
      <c r="C3648" s="30" t="s">
        <v>2065</v>
      </c>
      <c r="D3648" s="28" t="s">
        <v>11</v>
      </c>
      <c r="E3648" s="29">
        <v>1</v>
      </c>
      <c r="F3648" s="17"/>
    </row>
    <row r="3649" spans="1:9" ht="25.5" customHeight="1" x14ac:dyDescent="0.2">
      <c r="A3649" s="27">
        <v>3647</v>
      </c>
      <c r="B3649" s="29" t="s">
        <v>2066</v>
      </c>
      <c r="C3649" s="30" t="s">
        <v>2067</v>
      </c>
      <c r="D3649" s="28" t="s">
        <v>11</v>
      </c>
      <c r="E3649" s="29">
        <v>1</v>
      </c>
      <c r="F3649" s="17"/>
    </row>
    <row r="3650" spans="1:9" ht="25.5" customHeight="1" x14ac:dyDescent="0.2">
      <c r="A3650" s="27">
        <v>3648</v>
      </c>
      <c r="B3650" s="29" t="s">
        <v>2068</v>
      </c>
      <c r="C3650" s="30" t="s">
        <v>2069</v>
      </c>
      <c r="D3650" s="28" t="s">
        <v>11</v>
      </c>
      <c r="E3650" s="29">
        <v>1</v>
      </c>
      <c r="F3650" s="17"/>
    </row>
    <row r="3651" spans="1:9" ht="25.5" customHeight="1" x14ac:dyDescent="0.2">
      <c r="A3651" s="27">
        <v>3649</v>
      </c>
      <c r="B3651" s="29" t="s">
        <v>2070</v>
      </c>
      <c r="C3651" s="30" t="s">
        <v>2071</v>
      </c>
      <c r="D3651" s="28" t="s">
        <v>11</v>
      </c>
      <c r="E3651" s="29">
        <v>1</v>
      </c>
      <c r="F3651" s="17"/>
    </row>
    <row r="3652" spans="1:9" ht="25.5" customHeight="1" x14ac:dyDescent="0.2">
      <c r="A3652" s="27">
        <v>3650</v>
      </c>
      <c r="B3652" s="29" t="s">
        <v>2072</v>
      </c>
      <c r="C3652" s="30" t="s">
        <v>2073</v>
      </c>
      <c r="D3652" s="28" t="s">
        <v>11</v>
      </c>
      <c r="E3652" s="29">
        <v>1</v>
      </c>
      <c r="F3652" s="17"/>
    </row>
    <row r="3653" spans="1:9" ht="25.5" customHeight="1" x14ac:dyDescent="0.2">
      <c r="A3653" s="27">
        <v>3651</v>
      </c>
      <c r="B3653" s="29" t="s">
        <v>2074</v>
      </c>
      <c r="C3653" s="30" t="s">
        <v>2075</v>
      </c>
      <c r="D3653" s="28" t="s">
        <v>11</v>
      </c>
      <c r="E3653" s="29">
        <v>1</v>
      </c>
      <c r="F3653" s="17"/>
    </row>
    <row r="3654" spans="1:9" ht="25.5" customHeight="1" x14ac:dyDescent="0.2">
      <c r="A3654" s="27">
        <v>3652</v>
      </c>
      <c r="B3654" s="29" t="s">
        <v>2076</v>
      </c>
      <c r="C3654" s="30" t="s">
        <v>2077</v>
      </c>
      <c r="D3654" s="28" t="s">
        <v>11</v>
      </c>
      <c r="E3654" s="29">
        <v>1</v>
      </c>
      <c r="F3654" s="17"/>
    </row>
    <row r="3655" spans="1:9" ht="25.5" customHeight="1" x14ac:dyDescent="0.2">
      <c r="A3655" s="27">
        <v>3653</v>
      </c>
      <c r="B3655" s="29" t="s">
        <v>2078</v>
      </c>
      <c r="C3655" s="30" t="s">
        <v>2079</v>
      </c>
      <c r="D3655" s="28" t="s">
        <v>11</v>
      </c>
      <c r="E3655" s="29">
        <v>1</v>
      </c>
      <c r="F3655" s="17"/>
      <c r="I3655" s="4" t="b">
        <f>INT(F3653*100)=(F3653*100)</f>
        <v>1</v>
      </c>
    </row>
    <row r="3656" spans="1:9" ht="25.5" customHeight="1" x14ac:dyDescent="0.2">
      <c r="A3656" s="27">
        <v>3654</v>
      </c>
      <c r="B3656" s="29" t="s">
        <v>2080</v>
      </c>
      <c r="C3656" s="30" t="s">
        <v>2081</v>
      </c>
      <c r="D3656" s="28" t="s">
        <v>11</v>
      </c>
      <c r="E3656" s="29">
        <v>1</v>
      </c>
      <c r="F3656" s="17"/>
    </row>
    <row r="3657" spans="1:9" ht="25.5" customHeight="1" x14ac:dyDescent="0.2">
      <c r="A3657" s="27">
        <v>3655</v>
      </c>
      <c r="B3657" s="29" t="s">
        <v>2082</v>
      </c>
      <c r="C3657" s="30" t="s">
        <v>2083</v>
      </c>
      <c r="D3657" s="28" t="s">
        <v>11</v>
      </c>
      <c r="E3657" s="29">
        <v>1</v>
      </c>
      <c r="F3657" s="17"/>
    </row>
    <row r="3658" spans="1:9" ht="25.5" customHeight="1" x14ac:dyDescent="0.2">
      <c r="A3658" s="27">
        <v>3656</v>
      </c>
      <c r="B3658" s="29" t="s">
        <v>2084</v>
      </c>
      <c r="C3658" s="30" t="s">
        <v>2085</v>
      </c>
      <c r="D3658" s="28" t="s">
        <v>11</v>
      </c>
      <c r="E3658" s="29">
        <v>1</v>
      </c>
      <c r="F3658" s="17"/>
      <c r="I3658" s="4" t="b">
        <f>INT(F3656*100)=(F3656*100)</f>
        <v>1</v>
      </c>
    </row>
    <row r="3659" spans="1:9" ht="25.5" customHeight="1" x14ac:dyDescent="0.2">
      <c r="A3659" s="27">
        <v>3657</v>
      </c>
      <c r="B3659" s="29" t="s">
        <v>2086</v>
      </c>
      <c r="C3659" s="30" t="s">
        <v>2087</v>
      </c>
      <c r="D3659" s="28" t="s">
        <v>11</v>
      </c>
      <c r="E3659" s="29">
        <v>1</v>
      </c>
      <c r="F3659" s="17"/>
    </row>
    <row r="3660" spans="1:9" ht="25.5" customHeight="1" x14ac:dyDescent="0.2">
      <c r="A3660" s="27">
        <v>3658</v>
      </c>
      <c r="B3660" s="29" t="s">
        <v>2088</v>
      </c>
      <c r="C3660" s="30" t="s">
        <v>2089</v>
      </c>
      <c r="D3660" s="28" t="s">
        <v>11</v>
      </c>
      <c r="E3660" s="29">
        <v>1</v>
      </c>
      <c r="F3660" s="17"/>
    </row>
    <row r="3661" spans="1:9" ht="25.5" customHeight="1" x14ac:dyDescent="0.2">
      <c r="A3661" s="27">
        <v>3659</v>
      </c>
      <c r="B3661" s="29" t="s">
        <v>2090</v>
      </c>
      <c r="C3661" s="30" t="s">
        <v>2091</v>
      </c>
      <c r="D3661" s="28" t="s">
        <v>11</v>
      </c>
      <c r="E3661" s="29">
        <v>1</v>
      </c>
      <c r="F3661" s="17"/>
    </row>
    <row r="3662" spans="1:9" ht="25.5" customHeight="1" x14ac:dyDescent="0.2">
      <c r="A3662" s="27">
        <v>3660</v>
      </c>
      <c r="B3662" s="29" t="s">
        <v>2092</v>
      </c>
      <c r="C3662" s="30" t="s">
        <v>2093</v>
      </c>
      <c r="D3662" s="28" t="s">
        <v>11</v>
      </c>
      <c r="E3662" s="29">
        <v>1</v>
      </c>
      <c r="F3662" s="17"/>
      <c r="I3662" s="4" t="b">
        <f>INT(F3660*100)=(F3660*100)</f>
        <v>1</v>
      </c>
    </row>
    <row r="3663" spans="1:9" ht="25.5" customHeight="1" x14ac:dyDescent="0.2">
      <c r="A3663" s="27">
        <v>3661</v>
      </c>
      <c r="B3663" s="29" t="s">
        <v>2094</v>
      </c>
      <c r="C3663" s="30" t="s">
        <v>2095</v>
      </c>
      <c r="D3663" s="28" t="s">
        <v>11</v>
      </c>
      <c r="E3663" s="29">
        <v>1</v>
      </c>
      <c r="F3663" s="17"/>
    </row>
    <row r="3664" spans="1:9" ht="25.5" customHeight="1" x14ac:dyDescent="0.2">
      <c r="A3664" s="27">
        <v>3662</v>
      </c>
      <c r="B3664" s="29" t="s">
        <v>2096</v>
      </c>
      <c r="C3664" s="30" t="s">
        <v>2097</v>
      </c>
      <c r="D3664" s="28" t="s">
        <v>11</v>
      </c>
      <c r="E3664" s="29">
        <v>1</v>
      </c>
      <c r="F3664" s="17"/>
    </row>
    <row r="3665" spans="1:6" ht="25.5" customHeight="1" x14ac:dyDescent="0.2">
      <c r="A3665" s="27">
        <v>3663</v>
      </c>
      <c r="B3665" s="29" t="s">
        <v>2098</v>
      </c>
      <c r="C3665" s="30" t="s">
        <v>2099</v>
      </c>
      <c r="D3665" s="28" t="s">
        <v>11</v>
      </c>
      <c r="E3665" s="29">
        <v>1</v>
      </c>
      <c r="F3665" s="17"/>
    </row>
    <row r="3666" spans="1:6" ht="25.5" customHeight="1" x14ac:dyDescent="0.2">
      <c r="A3666" s="27">
        <v>3664</v>
      </c>
      <c r="B3666" s="29" t="s">
        <v>2100</v>
      </c>
      <c r="C3666" s="30" t="s">
        <v>2095</v>
      </c>
      <c r="D3666" s="28" t="s">
        <v>11</v>
      </c>
      <c r="E3666" s="29">
        <v>1</v>
      </c>
      <c r="F3666" s="17"/>
    </row>
    <row r="3667" spans="1:6" ht="25.5" customHeight="1" x14ac:dyDescent="0.2">
      <c r="A3667" s="27">
        <v>3665</v>
      </c>
      <c r="B3667" s="29" t="s">
        <v>2101</v>
      </c>
      <c r="C3667" s="30" t="s">
        <v>2102</v>
      </c>
      <c r="D3667" s="28" t="s">
        <v>11</v>
      </c>
      <c r="E3667" s="29">
        <v>1</v>
      </c>
      <c r="F3667" s="17"/>
    </row>
    <row r="3668" spans="1:6" ht="25.5" customHeight="1" x14ac:dyDescent="0.2">
      <c r="A3668" s="27">
        <v>3666</v>
      </c>
      <c r="B3668" s="29" t="s">
        <v>2103</v>
      </c>
      <c r="C3668" s="30" t="s">
        <v>2104</v>
      </c>
      <c r="D3668" s="28" t="s">
        <v>11</v>
      </c>
      <c r="E3668" s="29">
        <v>1</v>
      </c>
      <c r="F3668" s="17"/>
    </row>
    <row r="3669" spans="1:6" ht="25.5" customHeight="1" x14ac:dyDescent="0.2">
      <c r="A3669" s="27">
        <v>3667</v>
      </c>
      <c r="B3669" s="29" t="s">
        <v>2105</v>
      </c>
      <c r="C3669" s="30" t="s">
        <v>2106</v>
      </c>
      <c r="D3669" s="28" t="s">
        <v>11</v>
      </c>
      <c r="E3669" s="29">
        <v>1</v>
      </c>
      <c r="F3669" s="17"/>
    </row>
    <row r="3670" spans="1:6" ht="25.5" customHeight="1" x14ac:dyDescent="0.2">
      <c r="A3670" s="27">
        <v>3668</v>
      </c>
      <c r="B3670" s="29" t="s">
        <v>2107</v>
      </c>
      <c r="C3670" s="30" t="s">
        <v>2108</v>
      </c>
      <c r="D3670" s="28" t="s">
        <v>11</v>
      </c>
      <c r="E3670" s="29">
        <v>1</v>
      </c>
      <c r="F3670" s="17"/>
    </row>
    <row r="3671" spans="1:6" ht="25.5" customHeight="1" x14ac:dyDescent="0.2">
      <c r="A3671" s="27">
        <v>3669</v>
      </c>
      <c r="B3671" s="29" t="s">
        <v>2109</v>
      </c>
      <c r="C3671" s="30" t="s">
        <v>2110</v>
      </c>
      <c r="D3671" s="28" t="s">
        <v>11</v>
      </c>
      <c r="E3671" s="29">
        <v>1</v>
      </c>
      <c r="F3671" s="17"/>
    </row>
    <row r="3672" spans="1:6" ht="25.5" customHeight="1" x14ac:dyDescent="0.2">
      <c r="A3672" s="27">
        <v>3670</v>
      </c>
      <c r="B3672" s="29" t="s">
        <v>2111</v>
      </c>
      <c r="C3672" s="30" t="s">
        <v>2112</v>
      </c>
      <c r="D3672" s="28" t="s">
        <v>11</v>
      </c>
      <c r="E3672" s="29">
        <v>1</v>
      </c>
      <c r="F3672" s="17"/>
    </row>
    <row r="3673" spans="1:6" ht="25.5" customHeight="1" x14ac:dyDescent="0.2">
      <c r="A3673" s="27">
        <v>3671</v>
      </c>
      <c r="B3673" s="29" t="s">
        <v>2113</v>
      </c>
      <c r="C3673" s="30" t="s">
        <v>2114</v>
      </c>
      <c r="D3673" s="28" t="s">
        <v>11</v>
      </c>
      <c r="E3673" s="29">
        <v>1</v>
      </c>
      <c r="F3673" s="17"/>
    </row>
    <row r="3674" spans="1:6" ht="25.5" customHeight="1" x14ac:dyDescent="0.2">
      <c r="A3674" s="27">
        <v>3672</v>
      </c>
      <c r="B3674" s="29" t="s">
        <v>2115</v>
      </c>
      <c r="C3674" s="30" t="s">
        <v>2116</v>
      </c>
      <c r="D3674" s="28" t="s">
        <v>11</v>
      </c>
      <c r="E3674" s="29">
        <v>1</v>
      </c>
      <c r="F3674" s="17"/>
    </row>
    <row r="3675" spans="1:6" ht="25.5" customHeight="1" x14ac:dyDescent="0.2">
      <c r="A3675" s="27">
        <v>3673</v>
      </c>
      <c r="B3675" s="29" t="s">
        <v>2117</v>
      </c>
      <c r="C3675" s="30" t="s">
        <v>2116</v>
      </c>
      <c r="D3675" s="28" t="s">
        <v>11</v>
      </c>
      <c r="E3675" s="29">
        <v>1</v>
      </c>
      <c r="F3675" s="17"/>
    </row>
    <row r="3676" spans="1:6" ht="25.5" customHeight="1" x14ac:dyDescent="0.2">
      <c r="A3676" s="27">
        <v>3674</v>
      </c>
      <c r="B3676" s="29" t="s">
        <v>2118</v>
      </c>
      <c r="C3676" s="30" t="s">
        <v>2119</v>
      </c>
      <c r="D3676" s="28" t="s">
        <v>11</v>
      </c>
      <c r="E3676" s="29">
        <v>1</v>
      </c>
      <c r="F3676" s="17"/>
    </row>
    <row r="3677" spans="1:6" ht="25.5" customHeight="1" x14ac:dyDescent="0.2">
      <c r="A3677" s="27">
        <v>3675</v>
      </c>
      <c r="B3677" s="29" t="s">
        <v>2120</v>
      </c>
      <c r="C3677" s="30" t="s">
        <v>2121</v>
      </c>
      <c r="D3677" s="28" t="s">
        <v>11</v>
      </c>
      <c r="E3677" s="29">
        <v>1</v>
      </c>
      <c r="F3677" s="17"/>
    </row>
    <row r="3678" spans="1:6" ht="25.5" customHeight="1" x14ac:dyDescent="0.2">
      <c r="A3678" s="27">
        <v>3676</v>
      </c>
      <c r="B3678" s="29" t="s">
        <v>2122</v>
      </c>
      <c r="C3678" s="30" t="s">
        <v>2123</v>
      </c>
      <c r="D3678" s="28" t="s">
        <v>11</v>
      </c>
      <c r="E3678" s="29">
        <v>1</v>
      </c>
      <c r="F3678" s="17"/>
    </row>
    <row r="3679" spans="1:6" ht="25.5" customHeight="1" x14ac:dyDescent="0.2">
      <c r="A3679" s="27">
        <v>3677</v>
      </c>
      <c r="B3679" s="29">
        <v>15062018</v>
      </c>
      <c r="C3679" s="30" t="s">
        <v>2124</v>
      </c>
      <c r="D3679" s="28" t="s">
        <v>11</v>
      </c>
      <c r="E3679" s="29">
        <v>1</v>
      </c>
      <c r="F3679" s="17"/>
    </row>
    <row r="3680" spans="1:6" ht="25.5" customHeight="1" x14ac:dyDescent="0.2">
      <c r="A3680" s="27">
        <v>3678</v>
      </c>
      <c r="B3680" s="29" t="s">
        <v>2125</v>
      </c>
      <c r="C3680" s="30" t="s">
        <v>2126</v>
      </c>
      <c r="D3680" s="28" t="s">
        <v>11</v>
      </c>
      <c r="E3680" s="29">
        <v>1</v>
      </c>
      <c r="F3680" s="17"/>
    </row>
    <row r="3681" spans="1:9" ht="25.5" customHeight="1" x14ac:dyDescent="0.2">
      <c r="A3681" s="27">
        <v>3679</v>
      </c>
      <c r="B3681" s="29">
        <v>46340863</v>
      </c>
      <c r="C3681" s="30" t="s">
        <v>2127</v>
      </c>
      <c r="D3681" s="28" t="s">
        <v>11</v>
      </c>
      <c r="E3681" s="29">
        <v>1</v>
      </c>
      <c r="F3681" s="17"/>
      <c r="I3681" s="4" t="b">
        <f>INT(F3679*100)=(F3679*100)</f>
        <v>1</v>
      </c>
    </row>
    <row r="3682" spans="1:9" ht="25.5" customHeight="1" x14ac:dyDescent="0.2">
      <c r="A3682" s="27">
        <v>3680</v>
      </c>
      <c r="B3682" s="29" t="s">
        <v>2128</v>
      </c>
      <c r="C3682" s="30" t="s">
        <v>2129</v>
      </c>
      <c r="D3682" s="28" t="s">
        <v>11</v>
      </c>
      <c r="E3682" s="29">
        <v>1</v>
      </c>
      <c r="F3682" s="17"/>
    </row>
    <row r="3683" spans="1:9" ht="25.5" customHeight="1" x14ac:dyDescent="0.2">
      <c r="A3683" s="27">
        <v>3681</v>
      </c>
      <c r="B3683" s="29">
        <v>39012004</v>
      </c>
      <c r="C3683" s="30" t="s">
        <v>2130</v>
      </c>
      <c r="D3683" s="28" t="s">
        <v>11</v>
      </c>
      <c r="E3683" s="29">
        <v>1</v>
      </c>
      <c r="F3683" s="17"/>
    </row>
    <row r="3684" spans="1:9" ht="25.5" customHeight="1" x14ac:dyDescent="0.2">
      <c r="A3684" s="27">
        <v>3682</v>
      </c>
      <c r="B3684" s="29" t="s">
        <v>2131</v>
      </c>
      <c r="C3684" s="30" t="s">
        <v>2132</v>
      </c>
      <c r="D3684" s="28" t="s">
        <v>11</v>
      </c>
      <c r="E3684" s="29">
        <v>1</v>
      </c>
      <c r="F3684" s="17"/>
      <c r="I3684" s="4" t="b">
        <f>INT(F3682*100)=(F3682*100)</f>
        <v>1</v>
      </c>
    </row>
    <row r="3685" spans="1:9" ht="25.5" customHeight="1" x14ac:dyDescent="0.2">
      <c r="A3685" s="27">
        <v>3683</v>
      </c>
      <c r="B3685" s="29" t="s">
        <v>2133</v>
      </c>
      <c r="C3685" s="30" t="s">
        <v>2134</v>
      </c>
      <c r="D3685" s="28" t="s">
        <v>11</v>
      </c>
      <c r="E3685" s="29">
        <v>1</v>
      </c>
      <c r="F3685" s="17"/>
    </row>
    <row r="3686" spans="1:9" ht="25.5" customHeight="1" x14ac:dyDescent="0.2">
      <c r="A3686" s="27">
        <v>3684</v>
      </c>
      <c r="B3686" s="29" t="s">
        <v>2135</v>
      </c>
      <c r="C3686" s="30" t="s">
        <v>2136</v>
      </c>
      <c r="D3686" s="28" t="s">
        <v>11</v>
      </c>
      <c r="E3686" s="29">
        <v>1</v>
      </c>
      <c r="F3686" s="17"/>
    </row>
    <row r="3687" spans="1:9" ht="25.5" customHeight="1" x14ac:dyDescent="0.2">
      <c r="A3687" s="27">
        <v>3685</v>
      </c>
      <c r="B3687" s="29" t="s">
        <v>2137</v>
      </c>
      <c r="C3687" s="30" t="s">
        <v>2138</v>
      </c>
      <c r="D3687" s="28" t="s">
        <v>11</v>
      </c>
      <c r="E3687" s="29">
        <v>1</v>
      </c>
      <c r="F3687" s="17"/>
    </row>
    <row r="3688" spans="1:9" ht="25.5" customHeight="1" x14ac:dyDescent="0.2">
      <c r="A3688" s="27">
        <v>3686</v>
      </c>
      <c r="B3688" s="29" t="s">
        <v>2139</v>
      </c>
      <c r="C3688" s="30" t="s">
        <v>2140</v>
      </c>
      <c r="D3688" s="28" t="s">
        <v>11</v>
      </c>
      <c r="E3688" s="29">
        <v>1</v>
      </c>
      <c r="F3688" s="17"/>
      <c r="I3688" s="4" t="b">
        <f>INT(F3686*100)=(F3686*100)</f>
        <v>1</v>
      </c>
    </row>
    <row r="3689" spans="1:9" ht="25.5" customHeight="1" x14ac:dyDescent="0.2">
      <c r="A3689" s="27">
        <v>3687</v>
      </c>
      <c r="B3689" s="29" t="s">
        <v>2141</v>
      </c>
      <c r="C3689" s="30" t="s">
        <v>2071</v>
      </c>
      <c r="D3689" s="28" t="s">
        <v>11</v>
      </c>
      <c r="E3689" s="29">
        <v>1</v>
      </c>
      <c r="F3689" s="17"/>
    </row>
    <row r="3690" spans="1:9" ht="25.5" customHeight="1" x14ac:dyDescent="0.2">
      <c r="A3690" s="27">
        <v>3688</v>
      </c>
      <c r="B3690" s="29" t="s">
        <v>2142</v>
      </c>
      <c r="C3690" s="30" t="s">
        <v>2143</v>
      </c>
      <c r="D3690" s="28" t="s">
        <v>11</v>
      </c>
      <c r="E3690" s="29">
        <v>1</v>
      </c>
      <c r="F3690" s="17"/>
    </row>
    <row r="3691" spans="1:9" ht="25.5" customHeight="1" x14ac:dyDescent="0.2">
      <c r="A3691" s="27">
        <v>3689</v>
      </c>
      <c r="B3691" s="29" t="s">
        <v>2144</v>
      </c>
      <c r="C3691" s="30" t="s">
        <v>2145</v>
      </c>
      <c r="D3691" s="28" t="s">
        <v>11</v>
      </c>
      <c r="E3691" s="29">
        <v>1</v>
      </c>
      <c r="F3691" s="17"/>
    </row>
    <row r="3692" spans="1:9" ht="25.5" customHeight="1" x14ac:dyDescent="0.2">
      <c r="A3692" s="27">
        <v>3690</v>
      </c>
      <c r="B3692" s="29" t="s">
        <v>2146</v>
      </c>
      <c r="C3692" s="30" t="s">
        <v>2145</v>
      </c>
      <c r="D3692" s="28" t="s">
        <v>11</v>
      </c>
      <c r="E3692" s="29">
        <v>1</v>
      </c>
      <c r="F3692" s="17"/>
    </row>
    <row r="3693" spans="1:9" ht="25.5" customHeight="1" x14ac:dyDescent="0.2">
      <c r="A3693" s="27">
        <v>3691</v>
      </c>
      <c r="B3693" s="29" t="s">
        <v>2147</v>
      </c>
      <c r="C3693" s="30" t="s">
        <v>2148</v>
      </c>
      <c r="D3693" s="28" t="s">
        <v>11</v>
      </c>
      <c r="E3693" s="29">
        <v>1</v>
      </c>
      <c r="F3693" s="17"/>
    </row>
    <row r="3694" spans="1:9" ht="25.5" customHeight="1" x14ac:dyDescent="0.2">
      <c r="A3694" s="27">
        <v>3692</v>
      </c>
      <c r="B3694" s="29" t="s">
        <v>2149</v>
      </c>
      <c r="C3694" s="30" t="s">
        <v>2150</v>
      </c>
      <c r="D3694" s="28" t="s">
        <v>11</v>
      </c>
      <c r="E3694" s="29">
        <v>1</v>
      </c>
      <c r="F3694" s="17"/>
    </row>
    <row r="3695" spans="1:9" ht="25.5" customHeight="1" x14ac:dyDescent="0.2">
      <c r="A3695" s="27">
        <v>3693</v>
      </c>
      <c r="B3695" s="29" t="s">
        <v>2151</v>
      </c>
      <c r="C3695" s="30" t="s">
        <v>2145</v>
      </c>
      <c r="D3695" s="28" t="s">
        <v>11</v>
      </c>
      <c r="E3695" s="29">
        <v>1</v>
      </c>
      <c r="F3695" s="17"/>
    </row>
    <row r="3696" spans="1:9" ht="25.5" customHeight="1" x14ac:dyDescent="0.2">
      <c r="A3696" s="27">
        <v>3694</v>
      </c>
      <c r="B3696" s="29" t="s">
        <v>2152</v>
      </c>
      <c r="C3696" s="30" t="s">
        <v>2153</v>
      </c>
      <c r="D3696" s="28" t="s">
        <v>11</v>
      </c>
      <c r="E3696" s="29">
        <v>1</v>
      </c>
      <c r="F3696" s="17"/>
    </row>
    <row r="3697" spans="1:9" ht="25.5" customHeight="1" x14ac:dyDescent="0.2">
      <c r="A3697" s="27">
        <v>3695</v>
      </c>
      <c r="B3697" s="29" t="s">
        <v>2154</v>
      </c>
      <c r="C3697" s="30" t="s">
        <v>2155</v>
      </c>
      <c r="D3697" s="28" t="s">
        <v>11</v>
      </c>
      <c r="E3697" s="29">
        <v>1</v>
      </c>
      <c r="F3697" s="17"/>
    </row>
    <row r="3698" spans="1:9" ht="25.5" customHeight="1" x14ac:dyDescent="0.2">
      <c r="A3698" s="27">
        <v>3696</v>
      </c>
      <c r="B3698" s="29" t="s">
        <v>2156</v>
      </c>
      <c r="C3698" s="30" t="s">
        <v>2157</v>
      </c>
      <c r="D3698" s="28" t="s">
        <v>11</v>
      </c>
      <c r="E3698" s="29">
        <v>1</v>
      </c>
      <c r="F3698" s="17"/>
    </row>
    <row r="3699" spans="1:9" ht="25.5" customHeight="1" x14ac:dyDescent="0.2">
      <c r="A3699" s="27">
        <v>3697</v>
      </c>
      <c r="B3699" s="29" t="s">
        <v>2158</v>
      </c>
      <c r="C3699" s="30" t="s">
        <v>2145</v>
      </c>
      <c r="D3699" s="28" t="s">
        <v>11</v>
      </c>
      <c r="E3699" s="29">
        <v>1</v>
      </c>
      <c r="F3699" s="17"/>
    </row>
    <row r="3700" spans="1:9" ht="25.5" customHeight="1" x14ac:dyDescent="0.2">
      <c r="A3700" s="27">
        <v>3698</v>
      </c>
      <c r="B3700" s="29" t="s">
        <v>2159</v>
      </c>
      <c r="C3700" s="30" t="s">
        <v>2145</v>
      </c>
      <c r="D3700" s="28" t="s">
        <v>11</v>
      </c>
      <c r="E3700" s="29">
        <v>1</v>
      </c>
      <c r="F3700" s="17"/>
    </row>
    <row r="3701" spans="1:9" ht="25.5" customHeight="1" x14ac:dyDescent="0.2">
      <c r="A3701" s="27">
        <v>3699</v>
      </c>
      <c r="B3701" s="29" t="s">
        <v>2160</v>
      </c>
      <c r="C3701" s="30" t="s">
        <v>2161</v>
      </c>
      <c r="D3701" s="28" t="s">
        <v>11</v>
      </c>
      <c r="E3701" s="29">
        <v>1</v>
      </c>
      <c r="F3701" s="17"/>
    </row>
    <row r="3702" spans="1:9" ht="25.5" customHeight="1" x14ac:dyDescent="0.2">
      <c r="A3702" s="27">
        <v>3700</v>
      </c>
      <c r="B3702" s="29" t="s">
        <v>2162</v>
      </c>
      <c r="C3702" s="30" t="s">
        <v>2163</v>
      </c>
      <c r="D3702" s="28" t="s">
        <v>11</v>
      </c>
      <c r="E3702" s="29">
        <v>1</v>
      </c>
      <c r="F3702" s="17"/>
    </row>
    <row r="3703" spans="1:9" ht="25.5" customHeight="1" x14ac:dyDescent="0.2">
      <c r="A3703" s="27">
        <v>3701</v>
      </c>
      <c r="B3703" s="29" t="s">
        <v>2164</v>
      </c>
      <c r="C3703" s="30" t="s">
        <v>2165</v>
      </c>
      <c r="D3703" s="28" t="s">
        <v>11</v>
      </c>
      <c r="E3703" s="29">
        <v>1</v>
      </c>
      <c r="F3703" s="17"/>
    </row>
    <row r="3704" spans="1:9" ht="25.5" customHeight="1" x14ac:dyDescent="0.2">
      <c r="A3704" s="27">
        <v>3702</v>
      </c>
      <c r="B3704" s="29" t="s">
        <v>2166</v>
      </c>
      <c r="C3704" s="30" t="s">
        <v>2167</v>
      </c>
      <c r="D3704" s="28" t="s">
        <v>11</v>
      </c>
      <c r="E3704" s="29">
        <v>1</v>
      </c>
      <c r="F3704" s="17"/>
    </row>
    <row r="3705" spans="1:9" ht="25.5" customHeight="1" x14ac:dyDescent="0.2">
      <c r="A3705" s="27">
        <v>3703</v>
      </c>
      <c r="B3705" s="29" t="s">
        <v>2168</v>
      </c>
      <c r="C3705" s="30" t="s">
        <v>2169</v>
      </c>
      <c r="D3705" s="28" t="s">
        <v>11</v>
      </c>
      <c r="E3705" s="29">
        <v>1</v>
      </c>
      <c r="F3705" s="17"/>
    </row>
    <row r="3706" spans="1:9" ht="25.5" customHeight="1" x14ac:dyDescent="0.2">
      <c r="A3706" s="27">
        <v>3704</v>
      </c>
      <c r="B3706" s="29" t="s">
        <v>2170</v>
      </c>
      <c r="C3706" s="30" t="s">
        <v>2169</v>
      </c>
      <c r="D3706" s="28" t="s">
        <v>11</v>
      </c>
      <c r="E3706" s="29">
        <v>1</v>
      </c>
      <c r="F3706" s="17"/>
      <c r="I3706" s="4" t="b">
        <f>INT(F3704*100)=(F3704*100)</f>
        <v>1</v>
      </c>
    </row>
    <row r="3707" spans="1:9" ht="25.5" customHeight="1" x14ac:dyDescent="0.2">
      <c r="A3707" s="27">
        <v>3705</v>
      </c>
      <c r="B3707" s="29" t="s">
        <v>2171</v>
      </c>
      <c r="C3707" s="30" t="s">
        <v>2172</v>
      </c>
      <c r="D3707" s="28" t="s">
        <v>11</v>
      </c>
      <c r="E3707" s="29">
        <v>1</v>
      </c>
      <c r="F3707" s="17"/>
    </row>
    <row r="3708" spans="1:9" ht="25.5" customHeight="1" x14ac:dyDescent="0.2">
      <c r="A3708" s="27">
        <v>3706</v>
      </c>
      <c r="B3708" s="29" t="s">
        <v>2173</v>
      </c>
      <c r="C3708" s="30" t="s">
        <v>2174</v>
      </c>
      <c r="D3708" s="28" t="s">
        <v>11</v>
      </c>
      <c r="E3708" s="29">
        <v>1</v>
      </c>
      <c r="F3708" s="17"/>
    </row>
    <row r="3709" spans="1:9" ht="25.5" customHeight="1" x14ac:dyDescent="0.2">
      <c r="A3709" s="27">
        <v>3707</v>
      </c>
      <c r="B3709" s="29" t="s">
        <v>2175</v>
      </c>
      <c r="C3709" s="30" t="s">
        <v>2176</v>
      </c>
      <c r="D3709" s="28" t="s">
        <v>11</v>
      </c>
      <c r="E3709" s="29">
        <v>1</v>
      </c>
      <c r="F3709" s="17"/>
      <c r="I3709" s="4" t="b">
        <f>INT(F3707*100)=(F3707*100)</f>
        <v>1</v>
      </c>
    </row>
    <row r="3710" spans="1:9" ht="25.5" customHeight="1" x14ac:dyDescent="0.2">
      <c r="A3710" s="27">
        <v>3708</v>
      </c>
      <c r="B3710" s="29" t="s">
        <v>2177</v>
      </c>
      <c r="C3710" s="30" t="s">
        <v>2178</v>
      </c>
      <c r="D3710" s="28" t="s">
        <v>11</v>
      </c>
      <c r="E3710" s="29">
        <v>1</v>
      </c>
      <c r="F3710" s="17"/>
    </row>
    <row r="3711" spans="1:9" ht="25.5" customHeight="1" x14ac:dyDescent="0.2">
      <c r="A3711" s="27">
        <v>3709</v>
      </c>
      <c r="B3711" s="29" t="s">
        <v>2179</v>
      </c>
      <c r="C3711" s="30" t="s">
        <v>2180</v>
      </c>
      <c r="D3711" s="28" t="s">
        <v>11</v>
      </c>
      <c r="E3711" s="29">
        <v>1</v>
      </c>
      <c r="F3711" s="17"/>
    </row>
    <row r="3712" spans="1:9" ht="25.5" customHeight="1" x14ac:dyDescent="0.2">
      <c r="A3712" s="27">
        <v>3710</v>
      </c>
      <c r="B3712" s="29" t="s">
        <v>2181</v>
      </c>
      <c r="C3712" s="30" t="s">
        <v>2182</v>
      </c>
      <c r="D3712" s="28" t="s">
        <v>11</v>
      </c>
      <c r="E3712" s="29">
        <v>1</v>
      </c>
      <c r="F3712" s="17"/>
    </row>
    <row r="3713" spans="1:9" ht="25.5" customHeight="1" x14ac:dyDescent="0.2">
      <c r="A3713" s="27">
        <v>3711</v>
      </c>
      <c r="B3713" s="29" t="s">
        <v>2183</v>
      </c>
      <c r="C3713" s="30" t="s">
        <v>2184</v>
      </c>
      <c r="D3713" s="28" t="s">
        <v>11</v>
      </c>
      <c r="E3713" s="29">
        <v>1</v>
      </c>
      <c r="F3713" s="17"/>
      <c r="I3713" s="4" t="b">
        <f>INT(F3711*100)=(F3711*100)</f>
        <v>1</v>
      </c>
    </row>
    <row r="3714" spans="1:9" ht="25.5" customHeight="1" x14ac:dyDescent="0.2">
      <c r="A3714" s="27">
        <v>3712</v>
      </c>
      <c r="B3714" s="29" t="s">
        <v>2185</v>
      </c>
      <c r="C3714" s="30" t="s">
        <v>2186</v>
      </c>
      <c r="D3714" s="28" t="s">
        <v>11</v>
      </c>
      <c r="E3714" s="29">
        <v>1</v>
      </c>
      <c r="F3714" s="17"/>
    </row>
    <row r="3715" spans="1:9" ht="25.5" customHeight="1" x14ac:dyDescent="0.2">
      <c r="A3715" s="27">
        <v>3713</v>
      </c>
      <c r="B3715" s="29" t="s">
        <v>2187</v>
      </c>
      <c r="C3715" s="30" t="s">
        <v>2188</v>
      </c>
      <c r="D3715" s="28" t="s">
        <v>11</v>
      </c>
      <c r="E3715" s="29">
        <v>1</v>
      </c>
      <c r="F3715" s="17"/>
    </row>
    <row r="3716" spans="1:9" ht="25.5" customHeight="1" x14ac:dyDescent="0.2">
      <c r="A3716" s="27">
        <v>3714</v>
      </c>
      <c r="B3716" s="29" t="s">
        <v>2189</v>
      </c>
      <c r="C3716" s="30" t="s">
        <v>2190</v>
      </c>
      <c r="D3716" s="28" t="s">
        <v>11</v>
      </c>
      <c r="E3716" s="29">
        <v>1</v>
      </c>
      <c r="F3716" s="17"/>
    </row>
    <row r="3717" spans="1:9" ht="25.5" customHeight="1" x14ac:dyDescent="0.2">
      <c r="A3717" s="27">
        <v>3715</v>
      </c>
      <c r="B3717" s="29" t="s">
        <v>2191</v>
      </c>
      <c r="C3717" s="30" t="s">
        <v>2192</v>
      </c>
      <c r="D3717" s="28" t="s">
        <v>11</v>
      </c>
      <c r="E3717" s="29">
        <v>1</v>
      </c>
      <c r="F3717" s="17"/>
    </row>
    <row r="3718" spans="1:9" ht="25.5" customHeight="1" x14ac:dyDescent="0.2">
      <c r="A3718" s="27">
        <v>3716</v>
      </c>
      <c r="B3718" s="29" t="s">
        <v>2193</v>
      </c>
      <c r="C3718" s="30" t="s">
        <v>2188</v>
      </c>
      <c r="D3718" s="28" t="s">
        <v>11</v>
      </c>
      <c r="E3718" s="29">
        <v>1</v>
      </c>
      <c r="F3718" s="17"/>
    </row>
    <row r="3719" spans="1:9" ht="25.5" customHeight="1" x14ac:dyDescent="0.2">
      <c r="A3719" s="27">
        <v>3717</v>
      </c>
      <c r="B3719" s="29" t="s">
        <v>2194</v>
      </c>
      <c r="C3719" s="30" t="s">
        <v>2195</v>
      </c>
      <c r="D3719" s="28" t="s">
        <v>11</v>
      </c>
      <c r="E3719" s="29">
        <v>1</v>
      </c>
      <c r="F3719" s="17"/>
    </row>
    <row r="3720" spans="1:9" ht="25.5" customHeight="1" x14ac:dyDescent="0.2">
      <c r="A3720" s="27">
        <v>3718</v>
      </c>
      <c r="B3720" s="29" t="s">
        <v>2196</v>
      </c>
      <c r="C3720" s="30" t="s">
        <v>2197</v>
      </c>
      <c r="D3720" s="28" t="s">
        <v>11</v>
      </c>
      <c r="E3720" s="29">
        <v>1</v>
      </c>
      <c r="F3720" s="17"/>
    </row>
    <row r="3721" spans="1:9" ht="25.5" customHeight="1" x14ac:dyDescent="0.2">
      <c r="A3721" s="27">
        <v>3719</v>
      </c>
      <c r="B3721" s="29" t="s">
        <v>2198</v>
      </c>
      <c r="C3721" s="30" t="s">
        <v>2199</v>
      </c>
      <c r="D3721" s="28" t="s">
        <v>11</v>
      </c>
      <c r="E3721" s="29">
        <v>1</v>
      </c>
      <c r="F3721" s="17"/>
      <c r="I3721" s="4" t="b">
        <f>INT(F3719*100)=(F3719*100)</f>
        <v>1</v>
      </c>
    </row>
    <row r="3722" spans="1:9" ht="25.5" customHeight="1" x14ac:dyDescent="0.2">
      <c r="A3722" s="27">
        <v>3720</v>
      </c>
      <c r="B3722" s="29" t="s">
        <v>2200</v>
      </c>
      <c r="C3722" s="30" t="s">
        <v>2197</v>
      </c>
      <c r="D3722" s="28" t="s">
        <v>11</v>
      </c>
      <c r="E3722" s="29">
        <v>1</v>
      </c>
      <c r="F3722" s="17"/>
    </row>
    <row r="3723" spans="1:9" ht="25.5" customHeight="1" x14ac:dyDescent="0.2">
      <c r="A3723" s="27">
        <v>3721</v>
      </c>
      <c r="B3723" s="29">
        <v>35112013</v>
      </c>
      <c r="C3723" s="30" t="s">
        <v>2201</v>
      </c>
      <c r="D3723" s="28" t="s">
        <v>11</v>
      </c>
      <c r="E3723" s="29">
        <v>1</v>
      </c>
      <c r="F3723" s="17"/>
    </row>
    <row r="3724" spans="1:9" ht="25.5" customHeight="1" x14ac:dyDescent="0.2">
      <c r="A3724" s="27">
        <v>3722</v>
      </c>
      <c r="B3724" s="29">
        <v>20752022</v>
      </c>
      <c r="C3724" s="30" t="s">
        <v>2202</v>
      </c>
      <c r="D3724" s="28" t="s">
        <v>11</v>
      </c>
      <c r="E3724" s="29">
        <v>1</v>
      </c>
      <c r="F3724" s="17"/>
      <c r="I3724" s="4" t="b">
        <f>INT(F3722*100)=(F3722*100)</f>
        <v>1</v>
      </c>
    </row>
    <row r="3725" spans="1:9" ht="25.5" customHeight="1" x14ac:dyDescent="0.2">
      <c r="A3725" s="27">
        <v>3723</v>
      </c>
      <c r="B3725" s="29">
        <v>21560020</v>
      </c>
      <c r="C3725" s="30" t="s">
        <v>2203</v>
      </c>
      <c r="D3725" s="28" t="s">
        <v>11</v>
      </c>
      <c r="E3725" s="29">
        <v>1</v>
      </c>
      <c r="F3725" s="17"/>
    </row>
    <row r="3726" spans="1:9" ht="25.5" customHeight="1" x14ac:dyDescent="0.2">
      <c r="A3726" s="27">
        <v>3724</v>
      </c>
      <c r="B3726" s="29" t="s">
        <v>2204</v>
      </c>
      <c r="C3726" s="30" t="s">
        <v>2205</v>
      </c>
      <c r="D3726" s="28" t="s">
        <v>11</v>
      </c>
      <c r="E3726" s="29">
        <v>1</v>
      </c>
      <c r="F3726" s="17"/>
    </row>
    <row r="3727" spans="1:9" ht="25.5" customHeight="1" x14ac:dyDescent="0.2">
      <c r="A3727" s="27">
        <v>3725</v>
      </c>
      <c r="B3727" s="30" t="s">
        <v>2206</v>
      </c>
      <c r="C3727" s="29" t="s">
        <v>2239</v>
      </c>
      <c r="D3727" s="28" t="s">
        <v>11</v>
      </c>
      <c r="E3727" s="29">
        <v>1</v>
      </c>
      <c r="F3727" s="17"/>
    </row>
    <row r="3728" spans="1:9" ht="25.5" customHeight="1" x14ac:dyDescent="0.2">
      <c r="A3728" s="27">
        <v>3726</v>
      </c>
      <c r="B3728" s="30" t="s">
        <v>2207</v>
      </c>
      <c r="C3728" s="29" t="s">
        <v>2240</v>
      </c>
      <c r="D3728" s="28" t="s">
        <v>11</v>
      </c>
      <c r="E3728" s="29">
        <v>1</v>
      </c>
      <c r="F3728" s="17"/>
      <c r="I3728" s="4" t="b">
        <f>INT(F3726*100)=(F3726*100)</f>
        <v>1</v>
      </c>
    </row>
    <row r="3729" spans="1:6" ht="25.5" customHeight="1" x14ac:dyDescent="0.2">
      <c r="A3729" s="27">
        <v>3727</v>
      </c>
      <c r="B3729" s="30" t="s">
        <v>2208</v>
      </c>
      <c r="C3729" s="29" t="s">
        <v>2241</v>
      </c>
      <c r="D3729" s="28" t="s">
        <v>11</v>
      </c>
      <c r="E3729" s="29">
        <v>1</v>
      </c>
      <c r="F3729" s="17"/>
    </row>
    <row r="3730" spans="1:6" ht="25.5" customHeight="1" x14ac:dyDescent="0.2">
      <c r="A3730" s="27">
        <v>3728</v>
      </c>
      <c r="B3730" s="30" t="s">
        <v>2209</v>
      </c>
      <c r="C3730" s="29" t="s">
        <v>2242</v>
      </c>
      <c r="D3730" s="28" t="s">
        <v>11</v>
      </c>
      <c r="E3730" s="29">
        <v>1</v>
      </c>
      <c r="F3730" s="17"/>
    </row>
    <row r="3731" spans="1:6" ht="25.5" customHeight="1" x14ac:dyDescent="0.2">
      <c r="A3731" s="27">
        <v>3729</v>
      </c>
      <c r="B3731" s="30" t="s">
        <v>2210</v>
      </c>
      <c r="C3731" s="29" t="s">
        <v>2243</v>
      </c>
      <c r="D3731" s="28" t="s">
        <v>11</v>
      </c>
      <c r="E3731" s="29">
        <v>1</v>
      </c>
      <c r="F3731" s="17"/>
    </row>
    <row r="3732" spans="1:6" ht="25.5" customHeight="1" x14ac:dyDescent="0.2">
      <c r="A3732" s="27">
        <v>3730</v>
      </c>
      <c r="B3732" s="30" t="s">
        <v>2211</v>
      </c>
      <c r="C3732" s="29" t="s">
        <v>2244</v>
      </c>
      <c r="D3732" s="28" t="s">
        <v>11</v>
      </c>
      <c r="E3732" s="29">
        <v>1</v>
      </c>
      <c r="F3732" s="17"/>
    </row>
    <row r="3733" spans="1:6" ht="25.5" customHeight="1" x14ac:dyDescent="0.2">
      <c r="A3733" s="27">
        <v>3731</v>
      </c>
      <c r="B3733" s="30" t="s">
        <v>2212</v>
      </c>
      <c r="C3733" s="29" t="s">
        <v>2245</v>
      </c>
      <c r="D3733" s="28" t="s">
        <v>11</v>
      </c>
      <c r="E3733" s="29">
        <v>1</v>
      </c>
      <c r="F3733" s="17"/>
    </row>
    <row r="3734" spans="1:6" ht="25.5" customHeight="1" x14ac:dyDescent="0.2">
      <c r="A3734" s="27">
        <v>3732</v>
      </c>
      <c r="B3734" s="30" t="s">
        <v>2213</v>
      </c>
      <c r="C3734" s="29" t="s">
        <v>2246</v>
      </c>
      <c r="D3734" s="28" t="s">
        <v>11</v>
      </c>
      <c r="E3734" s="29">
        <v>1</v>
      </c>
      <c r="F3734" s="17"/>
    </row>
    <row r="3735" spans="1:6" ht="25.5" customHeight="1" x14ac:dyDescent="0.2">
      <c r="A3735" s="27">
        <v>3733</v>
      </c>
      <c r="B3735" s="30" t="s">
        <v>2214</v>
      </c>
      <c r="C3735" s="29" t="s">
        <v>2247</v>
      </c>
      <c r="D3735" s="28" t="s">
        <v>11</v>
      </c>
      <c r="E3735" s="29">
        <v>1</v>
      </c>
      <c r="F3735" s="17"/>
    </row>
    <row r="3736" spans="1:6" ht="25.5" customHeight="1" x14ac:dyDescent="0.2">
      <c r="A3736" s="27">
        <v>3734</v>
      </c>
      <c r="B3736" s="30" t="s">
        <v>2215</v>
      </c>
      <c r="C3736" s="29" t="s">
        <v>2248</v>
      </c>
      <c r="D3736" s="28" t="s">
        <v>11</v>
      </c>
      <c r="E3736" s="29">
        <v>1</v>
      </c>
      <c r="F3736" s="17"/>
    </row>
    <row r="3737" spans="1:6" ht="25.5" customHeight="1" x14ac:dyDescent="0.2">
      <c r="A3737" s="27">
        <v>3735</v>
      </c>
      <c r="B3737" s="30" t="s">
        <v>2216</v>
      </c>
      <c r="C3737" s="29" t="s">
        <v>2249</v>
      </c>
      <c r="D3737" s="28" t="s">
        <v>11</v>
      </c>
      <c r="E3737" s="29">
        <v>1</v>
      </c>
      <c r="F3737" s="17"/>
    </row>
    <row r="3738" spans="1:6" ht="25.5" customHeight="1" x14ac:dyDescent="0.2">
      <c r="A3738" s="27">
        <v>3736</v>
      </c>
      <c r="B3738" s="30" t="s">
        <v>2217</v>
      </c>
      <c r="C3738" s="29" t="s">
        <v>2250</v>
      </c>
      <c r="D3738" s="28" t="s">
        <v>11</v>
      </c>
      <c r="E3738" s="29">
        <v>1</v>
      </c>
      <c r="F3738" s="17"/>
    </row>
    <row r="3739" spans="1:6" ht="25.5" customHeight="1" x14ac:dyDescent="0.2">
      <c r="A3739" s="27">
        <v>3737</v>
      </c>
      <c r="B3739" s="30" t="s">
        <v>2218</v>
      </c>
      <c r="C3739" s="29" t="s">
        <v>2251</v>
      </c>
      <c r="D3739" s="28" t="s">
        <v>11</v>
      </c>
      <c r="E3739" s="29">
        <v>1</v>
      </c>
      <c r="F3739" s="17"/>
    </row>
    <row r="3740" spans="1:6" ht="25.5" customHeight="1" x14ac:dyDescent="0.2">
      <c r="A3740" s="27">
        <v>3738</v>
      </c>
      <c r="B3740" s="30" t="s">
        <v>2219</v>
      </c>
      <c r="C3740" s="29" t="s">
        <v>2252</v>
      </c>
      <c r="D3740" s="28" t="s">
        <v>11</v>
      </c>
      <c r="E3740" s="29">
        <v>1</v>
      </c>
      <c r="F3740" s="17"/>
    </row>
    <row r="3741" spans="1:6" ht="25.5" customHeight="1" x14ac:dyDescent="0.2">
      <c r="A3741" s="27">
        <v>3739</v>
      </c>
      <c r="B3741" s="30" t="s">
        <v>2220</v>
      </c>
      <c r="C3741" s="29" t="s">
        <v>2253</v>
      </c>
      <c r="D3741" s="28" t="s">
        <v>11</v>
      </c>
      <c r="E3741" s="29">
        <v>1</v>
      </c>
      <c r="F3741" s="17"/>
    </row>
    <row r="3742" spans="1:6" ht="25.5" customHeight="1" x14ac:dyDescent="0.2">
      <c r="A3742" s="27">
        <v>3740</v>
      </c>
      <c r="B3742" s="30" t="s">
        <v>2221</v>
      </c>
      <c r="C3742" s="29" t="s">
        <v>2254</v>
      </c>
      <c r="D3742" s="28" t="s">
        <v>11</v>
      </c>
      <c r="E3742" s="29">
        <v>1</v>
      </c>
      <c r="F3742" s="17"/>
    </row>
    <row r="3743" spans="1:6" ht="25.5" customHeight="1" x14ac:dyDescent="0.2">
      <c r="A3743" s="27">
        <v>3741</v>
      </c>
      <c r="B3743" s="30" t="s">
        <v>2222</v>
      </c>
      <c r="C3743" s="29" t="s">
        <v>2255</v>
      </c>
      <c r="D3743" s="28" t="s">
        <v>11</v>
      </c>
      <c r="E3743" s="29">
        <v>1</v>
      </c>
      <c r="F3743" s="17"/>
    </row>
    <row r="3744" spans="1:6" ht="25.5" customHeight="1" x14ac:dyDescent="0.2">
      <c r="A3744" s="27">
        <v>3742</v>
      </c>
      <c r="B3744" s="30" t="s">
        <v>2223</v>
      </c>
      <c r="C3744" s="29" t="s">
        <v>2256</v>
      </c>
      <c r="D3744" s="28" t="s">
        <v>11</v>
      </c>
      <c r="E3744" s="29">
        <v>1</v>
      </c>
      <c r="F3744" s="17"/>
    </row>
    <row r="3745" spans="1:9" ht="25.5" customHeight="1" x14ac:dyDescent="0.2">
      <c r="A3745" s="27">
        <v>3743</v>
      </c>
      <c r="B3745" s="30" t="s">
        <v>2224</v>
      </c>
      <c r="C3745" s="29" t="s">
        <v>2257</v>
      </c>
      <c r="D3745" s="28" t="s">
        <v>11</v>
      </c>
      <c r="E3745" s="29">
        <v>1</v>
      </c>
      <c r="F3745" s="17"/>
    </row>
    <row r="3746" spans="1:9" ht="25.5" customHeight="1" x14ac:dyDescent="0.2">
      <c r="A3746" s="27">
        <v>3744</v>
      </c>
      <c r="B3746" s="30" t="s">
        <v>2225</v>
      </c>
      <c r="C3746" s="29" t="s">
        <v>2258</v>
      </c>
      <c r="D3746" s="28" t="s">
        <v>11</v>
      </c>
      <c r="E3746" s="29">
        <v>1</v>
      </c>
      <c r="F3746" s="17"/>
    </row>
    <row r="3747" spans="1:9" ht="25.5" customHeight="1" x14ac:dyDescent="0.2">
      <c r="A3747" s="27">
        <v>3745</v>
      </c>
      <c r="B3747" s="30" t="s">
        <v>2226</v>
      </c>
      <c r="C3747" s="29" t="s">
        <v>2259</v>
      </c>
      <c r="D3747" s="28" t="s">
        <v>11</v>
      </c>
      <c r="E3747" s="29">
        <v>1</v>
      </c>
      <c r="F3747" s="17"/>
      <c r="I3747" s="4" t="b">
        <f>INT(F3745*100)=(F3745*100)</f>
        <v>1</v>
      </c>
    </row>
    <row r="3748" spans="1:9" ht="25.5" customHeight="1" x14ac:dyDescent="0.2">
      <c r="A3748" s="27">
        <v>3746</v>
      </c>
      <c r="B3748" s="30" t="s">
        <v>2227</v>
      </c>
      <c r="C3748" s="29" t="s">
        <v>2260</v>
      </c>
      <c r="D3748" s="28" t="s">
        <v>11</v>
      </c>
      <c r="E3748" s="29">
        <v>1</v>
      </c>
      <c r="F3748" s="17"/>
    </row>
    <row r="3749" spans="1:9" ht="25.5" customHeight="1" x14ac:dyDescent="0.2">
      <c r="A3749" s="27">
        <v>3747</v>
      </c>
      <c r="B3749" s="30" t="s">
        <v>2228</v>
      </c>
      <c r="C3749" s="29" t="s">
        <v>2261</v>
      </c>
      <c r="D3749" s="28" t="s">
        <v>11</v>
      </c>
      <c r="E3749" s="29">
        <v>1</v>
      </c>
      <c r="F3749" s="17"/>
    </row>
    <row r="3750" spans="1:9" ht="25.5" customHeight="1" x14ac:dyDescent="0.2">
      <c r="A3750" s="27">
        <v>3748</v>
      </c>
      <c r="B3750" s="30" t="s">
        <v>2229</v>
      </c>
      <c r="C3750" s="29" t="s">
        <v>2262</v>
      </c>
      <c r="D3750" s="28" t="s">
        <v>11</v>
      </c>
      <c r="E3750" s="29">
        <v>1</v>
      </c>
      <c r="F3750" s="17"/>
      <c r="I3750" s="4" t="b">
        <f>INT(F3748*100)=(F3748*100)</f>
        <v>1</v>
      </c>
    </row>
    <row r="3751" spans="1:9" ht="25.5" customHeight="1" x14ac:dyDescent="0.2">
      <c r="A3751" s="27">
        <v>3749</v>
      </c>
      <c r="B3751" s="30" t="s">
        <v>2230</v>
      </c>
      <c r="C3751" s="29" t="s">
        <v>2263</v>
      </c>
      <c r="D3751" s="28" t="s">
        <v>11</v>
      </c>
      <c r="E3751" s="29">
        <v>1</v>
      </c>
      <c r="F3751" s="17"/>
    </row>
    <row r="3752" spans="1:9" ht="25.5" customHeight="1" x14ac:dyDescent="0.2">
      <c r="A3752" s="27">
        <v>3750</v>
      </c>
      <c r="B3752" s="30" t="s">
        <v>2231</v>
      </c>
      <c r="C3752" s="29" t="s">
        <v>2264</v>
      </c>
      <c r="D3752" s="28" t="s">
        <v>11</v>
      </c>
      <c r="E3752" s="29">
        <v>1</v>
      </c>
      <c r="F3752" s="17"/>
    </row>
    <row r="3753" spans="1:9" ht="25.5" customHeight="1" x14ac:dyDescent="0.2">
      <c r="A3753" s="27">
        <v>3751</v>
      </c>
      <c r="B3753" s="30" t="s">
        <v>2232</v>
      </c>
      <c r="C3753" s="29" t="s">
        <v>2265</v>
      </c>
      <c r="D3753" s="28" t="s">
        <v>11</v>
      </c>
      <c r="E3753" s="29">
        <v>1</v>
      </c>
      <c r="F3753" s="17"/>
    </row>
    <row r="3754" spans="1:9" ht="25.5" customHeight="1" x14ac:dyDescent="0.2">
      <c r="A3754" s="27">
        <v>3752</v>
      </c>
      <c r="B3754" s="30" t="s">
        <v>2233</v>
      </c>
      <c r="C3754" s="29" t="s">
        <v>2266</v>
      </c>
      <c r="D3754" s="28" t="s">
        <v>11</v>
      </c>
      <c r="E3754" s="29">
        <v>1</v>
      </c>
      <c r="F3754" s="17"/>
      <c r="I3754" s="4" t="b">
        <f>INT(F3745*100)=(F3745*100)</f>
        <v>1</v>
      </c>
    </row>
    <row r="3755" spans="1:9" ht="25.5" customHeight="1" x14ac:dyDescent="0.2">
      <c r="A3755" s="27">
        <v>3753</v>
      </c>
      <c r="B3755" s="30" t="s">
        <v>2234</v>
      </c>
      <c r="C3755" s="29" t="s">
        <v>2267</v>
      </c>
      <c r="D3755" s="28" t="s">
        <v>11</v>
      </c>
      <c r="E3755" s="29">
        <v>1</v>
      </c>
      <c r="F3755" s="17"/>
    </row>
    <row r="3756" spans="1:9" ht="25.5" customHeight="1" x14ac:dyDescent="0.2">
      <c r="A3756" s="27">
        <v>3754</v>
      </c>
      <c r="B3756" s="30" t="s">
        <v>2235</v>
      </c>
      <c r="C3756" s="29" t="s">
        <v>2268</v>
      </c>
      <c r="D3756" s="28" t="s">
        <v>11</v>
      </c>
      <c r="E3756" s="29">
        <v>1</v>
      </c>
      <c r="F3756" s="17"/>
    </row>
    <row r="3757" spans="1:9" ht="25.5" customHeight="1" x14ac:dyDescent="0.2">
      <c r="A3757" s="27">
        <v>3755</v>
      </c>
      <c r="B3757" s="30" t="s">
        <v>2236</v>
      </c>
      <c r="C3757" s="29" t="s">
        <v>2269</v>
      </c>
      <c r="D3757" s="28" t="s">
        <v>11</v>
      </c>
      <c r="E3757" s="29">
        <v>1</v>
      </c>
      <c r="F3757" s="17"/>
    </row>
    <row r="3758" spans="1:9" ht="25.5" customHeight="1" x14ac:dyDescent="0.2">
      <c r="A3758" s="27">
        <v>3756</v>
      </c>
      <c r="B3758" s="30" t="s">
        <v>2237</v>
      </c>
      <c r="C3758" s="29" t="s">
        <v>2270</v>
      </c>
      <c r="D3758" s="28" t="s">
        <v>11</v>
      </c>
      <c r="E3758" s="29">
        <v>1</v>
      </c>
      <c r="F3758" s="17"/>
    </row>
    <row r="3759" spans="1:9" ht="25.5" customHeight="1" x14ac:dyDescent="0.2">
      <c r="A3759" s="27">
        <v>3757</v>
      </c>
      <c r="B3759" s="30" t="s">
        <v>2238</v>
      </c>
      <c r="C3759" s="29" t="s">
        <v>2271</v>
      </c>
      <c r="D3759" s="28" t="s">
        <v>11</v>
      </c>
      <c r="E3759" s="29">
        <v>1</v>
      </c>
      <c r="F3759" s="17"/>
    </row>
    <row r="3760" spans="1:9" ht="25.5" customHeight="1" x14ac:dyDescent="0.2">
      <c r="A3760" s="27">
        <v>3751</v>
      </c>
      <c r="B3760" s="30"/>
      <c r="C3760" s="31" t="s">
        <v>2272</v>
      </c>
      <c r="D3760" s="32" t="s">
        <v>2273</v>
      </c>
      <c r="E3760" s="33">
        <v>1</v>
      </c>
      <c r="F3760" s="17"/>
    </row>
    <row r="3761" spans="1:9" ht="25.5" customHeight="1" x14ac:dyDescent="0.2">
      <c r="A3761" s="27">
        <v>3752</v>
      </c>
      <c r="B3761" s="30"/>
      <c r="C3761" s="34" t="s">
        <v>2274</v>
      </c>
      <c r="D3761" s="32" t="s">
        <v>2275</v>
      </c>
      <c r="E3761" s="33">
        <v>1</v>
      </c>
      <c r="F3761" s="17"/>
      <c r="I3761" s="4" t="b">
        <f>INT(F3752*100)=(F3752*100)</f>
        <v>1</v>
      </c>
    </row>
    <row r="3762" spans="1:9" ht="25.5" customHeight="1" x14ac:dyDescent="0.2">
      <c r="A3762" s="27">
        <v>3753</v>
      </c>
      <c r="B3762" s="30"/>
      <c r="C3762" s="34" t="s">
        <v>2276</v>
      </c>
      <c r="D3762" s="32" t="s">
        <v>2275</v>
      </c>
      <c r="E3762" s="33">
        <v>1</v>
      </c>
      <c r="F3762" s="17"/>
    </row>
    <row r="3763" spans="1:9" ht="25.5" customHeight="1" x14ac:dyDescent="0.2">
      <c r="A3763" s="27">
        <v>3754</v>
      </c>
      <c r="B3763" s="30"/>
      <c r="C3763" s="34" t="s">
        <v>2277</v>
      </c>
      <c r="D3763" s="32" t="s">
        <v>2275</v>
      </c>
      <c r="E3763" s="33">
        <v>1</v>
      </c>
      <c r="F3763" s="17"/>
    </row>
    <row r="3764" spans="1:9" ht="25.5" customHeight="1" x14ac:dyDescent="0.2">
      <c r="A3764" s="27">
        <v>3755</v>
      </c>
      <c r="B3764" s="35"/>
      <c r="C3764" s="34" t="s">
        <v>2278</v>
      </c>
      <c r="D3764" s="32" t="s">
        <v>2275</v>
      </c>
      <c r="E3764" s="33">
        <v>1</v>
      </c>
      <c r="F3764" s="17"/>
    </row>
    <row r="3765" spans="1:9" ht="25.5" customHeight="1" x14ac:dyDescent="0.2">
      <c r="A3765" s="27">
        <v>3756</v>
      </c>
      <c r="B3765" s="30"/>
      <c r="C3765" s="34" t="s">
        <v>2279</v>
      </c>
      <c r="D3765" s="32" t="s">
        <v>2275</v>
      </c>
      <c r="E3765" s="33">
        <v>1</v>
      </c>
      <c r="F3765" s="17"/>
    </row>
    <row r="3766" spans="1:9" s="8" customFormat="1" ht="15" customHeight="1" x14ac:dyDescent="0.2">
      <c r="A3766" s="36" t="s">
        <v>10</v>
      </c>
      <c r="B3766" s="37"/>
      <c r="C3766" s="37"/>
      <c r="D3766" s="37"/>
      <c r="E3766" s="9"/>
      <c r="F3766" s="10"/>
    </row>
  </sheetData>
  <mergeCells count="1">
    <mergeCell ref="A3766:D3766"/>
  </mergeCells>
  <conditionalFormatting sqref="B3:B3630">
    <cfRule type="duplicateValues" dxfId="9" priority="4"/>
    <cfRule type="duplicateValues" dxfId="8" priority="5"/>
  </conditionalFormatting>
  <conditionalFormatting sqref="B3:B3763 B3765">
    <cfRule type="duplicateValues" dxfId="7" priority="6"/>
    <cfRule type="duplicateValues" dxfId="6" priority="7"/>
    <cfRule type="duplicateValues" dxfId="5" priority="8"/>
  </conditionalFormatting>
  <dataValidations count="1">
    <dataValidation type="custom" allowBlank="1" showInputMessage="1" showErrorMessage="1" errorTitle="Error" error="Molimo Vas da upišete na dvije decimale" prompt="Molimo Vas da upisujete cijenu na dvije decimale." sqref="F3:F3765" xr:uid="{00000000-0002-0000-0000-000000000000}">
      <formula1>INT(F3*100)=(F3*100)</formula1>
    </dataValidation>
  </dataValidations>
  <pageMargins left="0.31496062992125984" right="0.27559055118110237" top="0.56000000000000005" bottom="0.31496062992125984" header="0.19" footer="0.19685039370078741"/>
  <pageSetup paperSize="9" scale="53" orientation="portrait" verticalDpi="598" r:id="rId1"/>
  <headerFooter>
    <oddHeader>&amp;L&amp;"Arial,Uobičajeno"GRUPA 2 - SERVIS, POPRAVAK I REZERVNI DIJELOVI SPECIJALNIH VOZILA I STROJEVA ZA PRANJE I ČIŠĆENJE JAVNIH PROMETNIH POVRŠINA MARKI BUCHER
&amp;K0000002025-534
Troškovnik ver. 0&amp;R&amp;"Arial,Uobičajeno"&amp;P/&amp;N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A2B3C-ACB9-494D-BAC6-B26AB2D0575C}">
  <dimension ref="A1:B3758"/>
  <sheetViews>
    <sheetView topLeftCell="A3716" workbookViewId="0">
      <selection sqref="A1:B3757"/>
    </sheetView>
  </sheetViews>
  <sheetFormatPr defaultRowHeight="12.75" x14ac:dyDescent="0.2"/>
  <cols>
    <col min="1" max="1" width="21" style="22" bestFit="1" customWidth="1"/>
    <col min="2" max="2" width="82.33203125" bestFit="1" customWidth="1"/>
  </cols>
  <sheetData>
    <row r="1" spans="1:2" x14ac:dyDescent="0.2">
      <c r="A1" s="21">
        <v>7006376</v>
      </c>
      <c r="B1" s="18" t="str">
        <f ca="1">IFERROR(__xludf.DUMMYFUNCTION("GOOGLETRANSLATE(C3374,""en"",""hr"")"),"Usisna cijev")</f>
        <v>Usisna cijev</v>
      </c>
    </row>
    <row r="2" spans="1:2" x14ac:dyDescent="0.2">
      <c r="A2" s="21">
        <v>7007618</v>
      </c>
      <c r="B2" s="18" t="str">
        <f ca="1">IFERROR(__xludf.DUMMYFUNCTION("GOOGLETRANSLATE(C4096,""en"",""hr"")"),"Koplje visokog pritiska")</f>
        <v>Koplje visokog pritiska</v>
      </c>
    </row>
    <row r="3" spans="1:2" x14ac:dyDescent="0.2">
      <c r="A3" s="21">
        <v>7008357</v>
      </c>
      <c r="B3" s="18" t="str">
        <f ca="1">IFERROR(__xludf.DUMMYFUNCTION("GOOGLETRANSLATE(C6618,""en"",""hr"")"),"Pribor za prvu pomoć")</f>
        <v>Pribor za prvu pomoć</v>
      </c>
    </row>
    <row r="4" spans="1:2" x14ac:dyDescent="0.2">
      <c r="A4" s="21">
        <v>7010157</v>
      </c>
      <c r="B4" s="18" t="str">
        <f ca="1">IFERROR(__xludf.DUMMYFUNCTION("GOOGLETRANSLATE(C6775,""en"",""hr"")"),"Ljepljiva ploča")</f>
        <v>Ljepljiva ploča</v>
      </c>
    </row>
    <row r="5" spans="1:2" x14ac:dyDescent="0.2">
      <c r="A5" s="21">
        <v>7010158</v>
      </c>
      <c r="B5" s="18" t="str">
        <f ca="1">IFERROR(__xludf.DUMMYFUNCTION("GOOGLETRANSLATE(C6773,""en"",""hr"")"),"Ljepljiva ploča")</f>
        <v>Ljepljiva ploča</v>
      </c>
    </row>
    <row r="6" spans="1:2" x14ac:dyDescent="0.2">
      <c r="A6" s="21">
        <v>7010159</v>
      </c>
      <c r="B6" s="18" t="str">
        <f ca="1">IFERROR(__xludf.DUMMYFUNCTION("GOOGLETRANSLATE(C6777,""en"",""hr"")"),"Ljepljiva ploča")</f>
        <v>Ljepljiva ploča</v>
      </c>
    </row>
    <row r="7" spans="1:2" x14ac:dyDescent="0.2">
      <c r="A7" s="21">
        <v>7010187</v>
      </c>
      <c r="B7" s="18" t="str">
        <f ca="1">IFERROR(__xludf.DUMMYFUNCTION("GOOGLETRANSLATE(C6791,""en"",""hr"")"),"Ljepljiva ploča")</f>
        <v>Ljepljiva ploča</v>
      </c>
    </row>
    <row r="8" spans="1:2" x14ac:dyDescent="0.2">
      <c r="A8" s="21">
        <v>7011859</v>
      </c>
      <c r="B8" s="18" t="str">
        <f ca="1">IFERROR(__xludf.DUMMYFUNCTION("GOOGLETRANSLATE(C2481,""en"",""hr"")"),"Vijak kpl.")</f>
        <v>Vijak kpl.</v>
      </c>
    </row>
    <row r="9" spans="1:2" x14ac:dyDescent="0.2">
      <c r="A9" s="21">
        <v>7013319</v>
      </c>
      <c r="B9" s="18" t="str">
        <f ca="1">IFERROR(__xludf.DUMMYFUNCTION("GOOGLETRANSLATE(C6786,""en"",""hr"")"),"Ljepljiva ploča")</f>
        <v>Ljepljiva ploča</v>
      </c>
    </row>
    <row r="10" spans="1:2" x14ac:dyDescent="0.2">
      <c r="A10" s="21">
        <v>7013996</v>
      </c>
      <c r="B10" s="18" t="str">
        <f ca="1">IFERROR(__xludf.DUMMYFUNCTION("GOOGLETRANSLATE(C678,""en"",""hr"")"),"Prekidač blizine")</f>
        <v>Prekidač blizine</v>
      </c>
    </row>
    <row r="11" spans="1:2" x14ac:dyDescent="0.2">
      <c r="A11" s="21">
        <v>7015032</v>
      </c>
      <c r="B11" s="18" t="str">
        <f ca="1">IFERROR(__xludf.DUMMYFUNCTION("GOOGLETRANSLATE(C884,""en"",""hr"")"),"Klizna traka")</f>
        <v>Klizna traka</v>
      </c>
    </row>
    <row r="12" spans="1:2" x14ac:dyDescent="0.2">
      <c r="A12" s="21">
        <v>7016354</v>
      </c>
      <c r="B12" s="18" t="str">
        <f ca="1">IFERROR(__xludf.DUMMYFUNCTION("GOOGLETRANSLATE(C2282,""en"",""hr"")"),"Cilindar")</f>
        <v>Cilindar</v>
      </c>
    </row>
    <row r="13" spans="1:2" x14ac:dyDescent="0.2">
      <c r="A13" s="21">
        <v>7017574</v>
      </c>
      <c r="B13" s="18" t="str">
        <f ca="1">IFERROR(__xludf.DUMMYFUNCTION("GOOGLETRANSLATE(C3534,""en"",""hr"")"),"Utikač")</f>
        <v>Utikač</v>
      </c>
    </row>
    <row r="14" spans="1:2" x14ac:dyDescent="0.2">
      <c r="A14" s="21">
        <v>7028190</v>
      </c>
      <c r="B14" s="18" t="str">
        <f ca="1">IFERROR(__xludf.DUMMYFUNCTION("GOOGLETRANSLATE(C807,""en"",""hr"")"),"Priključak")</f>
        <v>Priključak</v>
      </c>
    </row>
    <row r="15" spans="1:2" x14ac:dyDescent="0.2">
      <c r="A15" s="21">
        <v>7028735</v>
      </c>
      <c r="B15" s="18" t="str">
        <f ca="1">IFERROR(__xludf.DUMMYFUNCTION("GOOGLETRANSLATE(C5301,""en"",""hr"")"),"4GB USB Flash Drive / NGS zaslon")</f>
        <v>4GB USB Flash Drive / NGS zaslon</v>
      </c>
    </row>
    <row r="16" spans="1:2" x14ac:dyDescent="0.2">
      <c r="A16" s="21">
        <v>7031868</v>
      </c>
      <c r="B16" s="18" t="str">
        <f ca="1">IFERROR(__xludf.DUMMYFUNCTION("GOOGLETRANSLATE(C4836,""en"",""hr"")"),"šarka")</f>
        <v>šarka</v>
      </c>
    </row>
    <row r="17" spans="1:2" x14ac:dyDescent="0.2">
      <c r="A17" s="21">
        <v>7033210</v>
      </c>
      <c r="B17" s="18" t="str">
        <f ca="1">IFERROR(__xludf.DUMMYFUNCTION("GOOGLETRANSLATE(C4216,""en"",""hr"")"),"Pintle")</f>
        <v>Pintle</v>
      </c>
    </row>
    <row r="18" spans="1:2" x14ac:dyDescent="0.2">
      <c r="A18" s="21">
        <v>7034790</v>
      </c>
      <c r="B18" s="18" t="str">
        <f ca="1">IFERROR(__xludf.DUMMYFUNCTION("GOOGLETRANSLATE(C5478,""en"",""hr"")"),"Papučica gasa")</f>
        <v>Papučica gasa</v>
      </c>
    </row>
    <row r="19" spans="1:2" x14ac:dyDescent="0.2">
      <c r="A19" s="21">
        <v>7036536</v>
      </c>
      <c r="B19" s="18" t="str">
        <f ca="1">IFERROR(__xludf.DUMMYFUNCTION("GOOGLETRANSLATE(C3101,""en"",""hr"")"),"Hidraulički cilindar kpl.")</f>
        <v>Hidraulički cilindar kpl.</v>
      </c>
    </row>
    <row r="20" spans="1:2" x14ac:dyDescent="0.2">
      <c r="A20" s="21">
        <v>7037415</v>
      </c>
      <c r="B20" s="18" t="str">
        <f ca="1">IFERROR(__xludf.DUMMYFUNCTION("GOOGLETRANSLATE(C2398,""en"",""hr"")"),"Montažna ploča")</f>
        <v>Montažna ploča</v>
      </c>
    </row>
    <row r="21" spans="1:2" x14ac:dyDescent="0.2">
      <c r="A21" s="21">
        <v>7038332</v>
      </c>
      <c r="B21" s="18" t="str">
        <f ca="1">IFERROR(__xludf.DUMMYFUNCTION("GOOGLETRANSLATE(C6796,""en"",""hr"")"),"BUCHER Logo")</f>
        <v>BUCHER Logo</v>
      </c>
    </row>
    <row r="22" spans="1:2" x14ac:dyDescent="0.2">
      <c r="A22" s="21">
        <v>7038333</v>
      </c>
      <c r="B22" s="18" t="str">
        <f ca="1">IFERROR(__xludf.DUMMYFUNCTION("GOOGLETRANSLATE(C6797,""en"",""hr"")"),"Naljepnica ""Bucher""")</f>
        <v>Naljepnica "Bucher"</v>
      </c>
    </row>
    <row r="23" spans="1:2" x14ac:dyDescent="0.2">
      <c r="A23" s="21">
        <v>7040381</v>
      </c>
      <c r="B23" s="18" t="str">
        <f ca="1">IFERROR(__xludf.DUMMYFUNCTION("GOOGLETRANSLATE(C6800,""en"",""hr"")"),"Ljepljiva ploča")</f>
        <v>Ljepljiva ploča</v>
      </c>
    </row>
    <row r="24" spans="1:2" x14ac:dyDescent="0.2">
      <c r="A24" s="21">
        <v>7041657</v>
      </c>
      <c r="B24" s="18" t="str">
        <f ca="1">IFERROR(__xludf.DUMMYFUNCTION("GOOGLETRANSLATE(C1488,""en"",""hr"")"),"Punjač")</f>
        <v>Punjač</v>
      </c>
    </row>
    <row r="25" spans="1:2" x14ac:dyDescent="0.2">
      <c r="A25" s="21">
        <v>7041692</v>
      </c>
      <c r="B25" s="18" t="str">
        <f ca="1">IFERROR(__xludf.DUMMYFUNCTION("GOOGLETRANSLATE(C5404,""en"",""hr"")"),"Senzor kuta upravljanja")</f>
        <v>Senzor kuta upravljanja</v>
      </c>
    </row>
    <row r="26" spans="1:2" x14ac:dyDescent="0.2">
      <c r="A26" s="21">
        <v>7043031</v>
      </c>
      <c r="B26" s="18" t="str">
        <f ca="1">IFERROR(__xludf.DUMMYFUNCTION("GOOGLETRANSLATE(C1574,""en"",""hr"")"),"Oblikovano crijevo")</f>
        <v>Oblikovano crijevo</v>
      </c>
    </row>
    <row r="27" spans="1:2" x14ac:dyDescent="0.2">
      <c r="A27" s="21">
        <v>7043892</v>
      </c>
      <c r="B27" s="18" t="str">
        <f ca="1">IFERROR(__xludf.DUMMYFUNCTION("GOOGLETRANSLATE(C4968,""en"",""hr"")"),"Prekidač osjetljiv na dodir")</f>
        <v>Prekidač osjetljiv na dodir</v>
      </c>
    </row>
    <row r="28" spans="1:2" x14ac:dyDescent="0.2">
      <c r="A28" s="21">
        <v>7046627</v>
      </c>
      <c r="B28" s="18" t="str">
        <f ca="1">IFERROR(__xludf.DUMMYFUNCTION("GOOGLETRANSLATE(C2099,""en"",""hr"")"),"Disk udaljenosti")</f>
        <v>Disk udaljenosti</v>
      </c>
    </row>
    <row r="29" spans="1:2" x14ac:dyDescent="0.2">
      <c r="A29" s="21">
        <v>7046735</v>
      </c>
      <c r="B29" s="18" t="str">
        <f ca="1">IFERROR(__xludf.DUMMYFUNCTION("GOOGLETRANSLATE(C2750,""en"",""hr"")"),"Držač")</f>
        <v>Držač</v>
      </c>
    </row>
    <row r="30" spans="1:2" x14ac:dyDescent="0.2">
      <c r="A30" s="21">
        <v>7047108</v>
      </c>
      <c r="B30" s="18" t="str">
        <f ca="1">IFERROR(__xludf.DUMMYFUNCTION("GOOGLETRANSLATE(C742,""en"",""hr"")"),"Električni motor")</f>
        <v>Električni motor</v>
      </c>
    </row>
    <row r="31" spans="1:2" x14ac:dyDescent="0.2">
      <c r="A31" s="21">
        <v>7047215</v>
      </c>
      <c r="B31" s="18" t="str">
        <f ca="1">IFERROR(__xludf.DUMMYFUNCTION("GOOGLETRANSLATE(C4257,""en"",""hr"")"),"Traka upozorenja")</f>
        <v>Traka upozorenja</v>
      </c>
    </row>
    <row r="32" spans="1:2" x14ac:dyDescent="0.2">
      <c r="A32" s="21">
        <v>7047322</v>
      </c>
      <c r="B32" s="18" t="str">
        <f ca="1">IFERROR(__xludf.DUMMYFUNCTION("GOOGLETRANSLATE(C70,""en"",""hr"")"),"Sedlo")</f>
        <v>Sedlo</v>
      </c>
    </row>
    <row r="33" spans="1:2" x14ac:dyDescent="0.2">
      <c r="A33" s="21">
        <v>7047613</v>
      </c>
      <c r="B33" s="18" t="str">
        <f ca="1">IFERROR(__xludf.DUMMYFUNCTION("GOOGLETRANSLATE(C81,""en"",""hr"")"),"Poklopac (spojnica)")</f>
        <v>Poklopac (spojnica)</v>
      </c>
    </row>
    <row r="34" spans="1:2" x14ac:dyDescent="0.2">
      <c r="A34" s="21">
        <v>7047872</v>
      </c>
      <c r="B34" s="18" t="str">
        <f ca="1">IFERROR(__xludf.DUMMYFUNCTION("GOOGLETRANSLATE(C6769,""en"",""hr"")"),"Ljepljiva ploča 92 dB")</f>
        <v>Ljepljiva ploča 92 dB</v>
      </c>
    </row>
    <row r="35" spans="1:2" x14ac:dyDescent="0.2">
      <c r="A35" s="21">
        <v>7047873</v>
      </c>
      <c r="B35" s="18" t="str">
        <f ca="1">IFERROR(__xludf.DUMMYFUNCTION("GOOGLETRANSLATE(C6789,""en"",""hr"")"),"Ljepljiva ploča")</f>
        <v>Ljepljiva ploča</v>
      </c>
    </row>
    <row r="36" spans="1:2" x14ac:dyDescent="0.2">
      <c r="A36" s="21">
        <v>7048142</v>
      </c>
      <c r="B36" s="18" t="str">
        <f ca="1">IFERROR(__xludf.DUMMYFUNCTION("GOOGLETRANSLATE(C4214,""en"",""hr"")"),"Držač")</f>
        <v>Držač</v>
      </c>
    </row>
    <row r="37" spans="1:2" x14ac:dyDescent="0.2">
      <c r="A37" s="21">
        <v>7048149</v>
      </c>
      <c r="B37" s="18" t="str">
        <f ca="1">IFERROR(__xludf.DUMMYFUNCTION("GOOGLETRANSLATE(C3868,""en"",""hr"")"),"Držač")</f>
        <v>Držač</v>
      </c>
    </row>
    <row r="38" spans="1:2" x14ac:dyDescent="0.2">
      <c r="A38" s="21">
        <v>7048151</v>
      </c>
      <c r="B38" s="18" t="str">
        <f ca="1">IFERROR(__xludf.DUMMYFUNCTION("GOOGLETRANSLATE(C3871,""en"",""hr"")"),"Vodeći valjak")</f>
        <v>Vodeći valjak</v>
      </c>
    </row>
    <row r="39" spans="1:2" x14ac:dyDescent="0.2">
      <c r="A39" s="21">
        <v>7048152</v>
      </c>
      <c r="B39" s="18" t="str">
        <f ca="1">IFERROR(__xludf.DUMMYFUNCTION("GOOGLETRANSLATE(C3869,""en"",""hr"")"),"podrška")</f>
        <v>podrška</v>
      </c>
    </row>
    <row r="40" spans="1:2" x14ac:dyDescent="0.2">
      <c r="A40" s="21">
        <v>7048153</v>
      </c>
      <c r="B40" s="18" t="str">
        <f ca="1">IFERROR(__xludf.DUMMYFUNCTION("GOOGLETRANSLATE(C4246,""en"",""hr"")"),"Valjak")</f>
        <v>Valjak</v>
      </c>
    </row>
    <row r="41" spans="1:2" x14ac:dyDescent="0.2">
      <c r="A41" s="21">
        <v>7048161</v>
      </c>
      <c r="B41" s="18" t="str">
        <f ca="1">IFERROR(__xludf.DUMMYFUNCTION("GOOGLETRANSLATE(C4174,""en"",""hr"")"),"Razmaknica")</f>
        <v>Razmaknica</v>
      </c>
    </row>
    <row r="42" spans="1:2" x14ac:dyDescent="0.2">
      <c r="A42" s="21">
        <v>7048164</v>
      </c>
      <c r="B42" s="18" t="str">
        <f ca="1">IFERROR(__xludf.DUMMYFUNCTION("GOOGLETRANSLATE(C4224,""en"",""hr"")"),"Okretni")</f>
        <v>Okretni</v>
      </c>
    </row>
    <row r="43" spans="1:2" x14ac:dyDescent="0.2">
      <c r="A43" s="21">
        <v>7048167</v>
      </c>
      <c r="B43" s="18" t="str">
        <f ca="1">IFERROR(__xludf.DUMMYFUNCTION("GOOGLETRANSLATE(C4230,""en"",""hr"")"),"Kućište pužnog mjenjača")</f>
        <v>Kućište pužnog mjenjača</v>
      </c>
    </row>
    <row r="44" spans="1:2" x14ac:dyDescent="0.2">
      <c r="A44" s="21">
        <v>7048168</v>
      </c>
      <c r="B44" s="18" t="str">
        <f ca="1">IFERROR(__xludf.DUMMYFUNCTION("GOOGLETRANSLATE(C4231,""en"",""hr"")"),"Frikcijska podloška")</f>
        <v>Frikcijska podloška</v>
      </c>
    </row>
    <row r="45" spans="1:2" x14ac:dyDescent="0.2">
      <c r="A45" s="21">
        <v>7048169</v>
      </c>
      <c r="B45" s="18" t="str">
        <f ca="1">IFERROR(__xludf.DUMMYFUNCTION("GOOGLETRANSLATE(C4229,""en"",""hr"")"),"Waher, tlak")</f>
        <v>Waher, tlak</v>
      </c>
    </row>
    <row r="46" spans="1:2" x14ac:dyDescent="0.2">
      <c r="A46" s="21">
        <v>7048250</v>
      </c>
      <c r="B46" s="18" t="str">
        <f ca="1">IFERROR(__xludf.DUMMYFUNCTION("GOOGLETRANSLATE(C4226,""en"",""hr"")"),"Distantni rukav")</f>
        <v>Distantni rukav</v>
      </c>
    </row>
    <row r="47" spans="1:2" x14ac:dyDescent="0.2">
      <c r="A47" s="21">
        <v>7048278</v>
      </c>
      <c r="B47" s="18" t="str">
        <f ca="1">IFERROR(__xludf.DUMMYFUNCTION("GOOGLETRANSLATE(C4232,""en"",""hr"")"),"Stop")</f>
        <v>Stop</v>
      </c>
    </row>
    <row r="48" spans="1:2" x14ac:dyDescent="0.2">
      <c r="A48" s="21">
        <v>7048316</v>
      </c>
      <c r="B48" s="18" t="str">
        <f ca="1">IFERROR(__xludf.DUMMYFUNCTION("GOOGLETRANSLATE(C4227,""en"",""hr"")"),"Frikcijska podloška")</f>
        <v>Frikcijska podloška</v>
      </c>
    </row>
    <row r="49" spans="1:2" x14ac:dyDescent="0.2">
      <c r="A49" s="21">
        <v>7048357</v>
      </c>
      <c r="B49" s="18" t="str">
        <f ca="1">IFERROR(__xludf.DUMMYFUNCTION("GOOGLETRANSLATE(C1525,""en"",""hr"")"),"Kompresor klime")</f>
        <v>Kompresor klime</v>
      </c>
    </row>
    <row r="50" spans="1:2" x14ac:dyDescent="0.2">
      <c r="A50" s="21">
        <v>7048416</v>
      </c>
      <c r="B50" s="18" t="str">
        <f ca="1">IFERROR(__xludf.DUMMYFUNCTION("GOOGLETRANSLATE(C1489,""en"",""hr"")"),"Inverter")</f>
        <v>Inverter</v>
      </c>
    </row>
    <row r="51" spans="1:2" x14ac:dyDescent="0.2">
      <c r="A51" s="21">
        <v>7048521</v>
      </c>
      <c r="B51" s="18" t="str">
        <f ca="1">IFERROR(__xludf.DUMMYFUNCTION("GOOGLETRANSLATE(C2328,""en"",""hr"")"),"gas")</f>
        <v>gas</v>
      </c>
    </row>
    <row r="52" spans="1:2" x14ac:dyDescent="0.2">
      <c r="A52" s="21">
        <v>7048889</v>
      </c>
      <c r="B52" s="18" t="str">
        <f ca="1">IFERROR(__xludf.DUMMYFUNCTION("GOOGLETRANSLATE(C3011,""en"",""hr"")"),"Četka za korov")</f>
        <v>Četka za korov</v>
      </c>
    </row>
    <row r="53" spans="1:2" x14ac:dyDescent="0.2">
      <c r="A53" s="21">
        <v>7049423</v>
      </c>
      <c r="B53" s="18" t="str">
        <f ca="1">IFERROR(__xludf.DUMMYFUNCTION("GOOGLETRANSLATE(C6117,""en"",""hr"")"),"Navojni uložak")</f>
        <v>Navojni uložak</v>
      </c>
    </row>
    <row r="54" spans="1:2" x14ac:dyDescent="0.2">
      <c r="A54" s="21">
        <v>7049440</v>
      </c>
      <c r="B54" s="18" t="str">
        <f ca="1">IFERROR(__xludf.DUMMYFUNCTION("GOOGLETRANSLATE(C6110,""en"",""hr"")"),"Ventil za ravnotežu tlaka")</f>
        <v>Ventil za ravnotežu tlaka</v>
      </c>
    </row>
    <row r="55" spans="1:2" x14ac:dyDescent="0.2">
      <c r="A55" s="21">
        <v>7049582</v>
      </c>
      <c r="B55" s="18" t="str">
        <f ca="1">IFERROR(__xludf.DUMMYFUNCTION("GOOGLETRANSLATE(C6122,""en"",""hr"")"),"Mlaznica G M 6 D 1,0")</f>
        <v>Mlaznica G M 6 D 1,0</v>
      </c>
    </row>
    <row r="56" spans="1:2" x14ac:dyDescent="0.2">
      <c r="A56" s="21">
        <v>7049590</v>
      </c>
      <c r="B56" s="18" t="str">
        <f ca="1">IFERROR(__xludf.DUMMYFUNCTION("GOOGLETRANSLATE(C6121,""en"",""hr"")"),"Mlaznica G M 6 D 0,8")</f>
        <v>Mlaznica G M 6 D 0,8</v>
      </c>
    </row>
    <row r="57" spans="1:2" x14ac:dyDescent="0.2">
      <c r="A57" s="21">
        <v>7049596</v>
      </c>
      <c r="B57" s="18" t="str">
        <f ca="1">IFERROR(__xludf.DUMMYFUNCTION("GOOGLETRANSLATE(C6173,""en"",""hr"")"),"Mlaznica G M 6 D 0,6")</f>
        <v>Mlaznica G M 6 D 0,6</v>
      </c>
    </row>
    <row r="58" spans="1:2" x14ac:dyDescent="0.2">
      <c r="A58" s="21">
        <v>7050449</v>
      </c>
      <c r="B58" s="18" t="str">
        <f ca="1">IFERROR(__xludf.DUMMYFUNCTION("GOOGLETRANSLATE(C1360,""en"",""hr"")"),"Filter čestica čađe")</f>
        <v>Filter čestica čađe</v>
      </c>
    </row>
    <row r="59" spans="1:2" x14ac:dyDescent="0.2">
      <c r="A59" s="21">
        <v>7050510</v>
      </c>
      <c r="B59" s="18" t="str">
        <f ca="1">IFERROR(__xludf.DUMMYFUNCTION("GOOGLETRANSLATE(C4223,""en"",""hr"")"),"Plinski cilindar")</f>
        <v>Plinski cilindar</v>
      </c>
    </row>
    <row r="60" spans="1:2" x14ac:dyDescent="0.2">
      <c r="A60" s="21">
        <v>7050578</v>
      </c>
      <c r="B60" s="18" t="str">
        <f ca="1">IFERROR(__xludf.DUMMYFUNCTION("GOOGLETRANSLATE(C676,""en"",""hr"")"),"Upravljački cilindar")</f>
        <v>Upravljački cilindar</v>
      </c>
    </row>
    <row r="61" spans="1:2" x14ac:dyDescent="0.2">
      <c r="A61" s="21">
        <v>7050684</v>
      </c>
      <c r="B61" s="18" t="str">
        <f ca="1">IFERROR(__xludf.DUMMYFUNCTION("GOOGLETRANSLATE(C3045,""en"",""hr"")"),"Usisna usta i usisna cijev kpl.")</f>
        <v>Usisna usta i usisna cijev kpl.</v>
      </c>
    </row>
    <row r="62" spans="1:2" x14ac:dyDescent="0.2">
      <c r="A62" s="21">
        <v>7051072</v>
      </c>
      <c r="B62" s="18" t="str">
        <f ca="1">IFERROR(__xludf.DUMMYFUNCTION("GOOGLETRANSLATE(C1980,""en"",""hr"")"),"Komplet za montažu (četka)")</f>
        <v>Komplet za montažu (četka)</v>
      </c>
    </row>
    <row r="63" spans="1:2" x14ac:dyDescent="0.2">
      <c r="A63" s="21">
        <v>7051074</v>
      </c>
      <c r="B63" s="18" t="str">
        <f ca="1">IFERROR(__xludf.DUMMYFUNCTION("GOOGLETRANSLATE(C1979,""en"",""hr"")"),"Montažna prirubnica kpl.")</f>
        <v>Montažna prirubnica kpl.</v>
      </c>
    </row>
    <row r="64" spans="1:2" x14ac:dyDescent="0.2">
      <c r="A64" s="21">
        <v>7051257</v>
      </c>
      <c r="B64" s="18" t="str">
        <f ca="1">IFERROR(__xludf.DUMMYFUNCTION("GOOGLETRANSLATE(C1529,""en"",""hr"")"),"Inverter")</f>
        <v>Inverter</v>
      </c>
    </row>
    <row r="65" spans="1:2" x14ac:dyDescent="0.2">
      <c r="A65" s="21">
        <v>7051423</v>
      </c>
      <c r="B65" s="18" t="str">
        <f ca="1">IFERROR(__xludf.DUMMYFUNCTION("GOOGLETRANSLATE(C675,""en"",""hr"")"),"Opružni vijak")</f>
        <v>Opružni vijak</v>
      </c>
    </row>
    <row r="66" spans="1:2" x14ac:dyDescent="0.2">
      <c r="A66" s="21">
        <v>7051722</v>
      </c>
      <c r="B66" s="18" t="str">
        <f ca="1">IFERROR(__xludf.DUMMYFUNCTION("GOOGLETRANSLATE(C6162,""en"",""hr"")"),"Povratni ventil")</f>
        <v>Povratni ventil</v>
      </c>
    </row>
    <row r="67" spans="1:2" x14ac:dyDescent="0.2">
      <c r="A67" s="21">
        <v>7052120</v>
      </c>
      <c r="B67" s="18" t="str">
        <f ca="1">IFERROR(__xludf.DUMMYFUNCTION("GOOGLETRANSLATE(C406,""en"",""hr"")"),"Čahura radijalnog ležaja")</f>
        <v>Čahura radijalnog ležaja</v>
      </c>
    </row>
    <row r="68" spans="1:2" x14ac:dyDescent="0.2">
      <c r="A68" s="21">
        <v>7052121</v>
      </c>
      <c r="B68" s="18" t="str">
        <f ca="1">IFERROR(__xludf.DUMMYFUNCTION("GOOGLETRANSLATE(C405,""en"",""hr"")"),"brtva")</f>
        <v>brtva</v>
      </c>
    </row>
    <row r="69" spans="1:2" x14ac:dyDescent="0.2">
      <c r="A69" s="21">
        <v>7052122</v>
      </c>
      <c r="B69" s="18" t="str">
        <f ca="1">IFERROR(__xludf.DUMMYFUNCTION("GOOGLETRANSLATE(C403,""en"",""hr"")"),"Čahura radijalnog ležaja")</f>
        <v>Čahura radijalnog ležaja</v>
      </c>
    </row>
    <row r="70" spans="1:2" x14ac:dyDescent="0.2">
      <c r="A70" s="21">
        <v>7052155</v>
      </c>
      <c r="B70" s="18" t="str">
        <f ca="1">IFERROR(__xludf.DUMMYFUNCTION("GOOGLETRANSLATE(C1396,""en"",""hr"")"),"Adblue spremnik kompletan Euro6c/6d")</f>
        <v>Adblue spremnik kompletan Euro6c/6d</v>
      </c>
    </row>
    <row r="71" spans="1:2" x14ac:dyDescent="0.2">
      <c r="A71" s="21">
        <v>7052482</v>
      </c>
      <c r="B71" s="18" t="str">
        <f ca="1">IFERROR(__xludf.DUMMYFUNCTION("GOOGLETRANSLATE(C1357,""en"",""hr"")"),"Sklop senzora (PM)")</f>
        <v>Sklop senzora (PM)</v>
      </c>
    </row>
    <row r="72" spans="1:2" x14ac:dyDescent="0.2">
      <c r="A72" s="21">
        <v>7053005</v>
      </c>
      <c r="B72" s="18" t="str">
        <f ca="1">IFERROR(__xludf.DUMMYFUNCTION("GOOGLETRANSLATE(C5370,""en"",""hr"")"),"Ruka upravljača lijevo")</f>
        <v>Ruka upravljača lijevo</v>
      </c>
    </row>
    <row r="73" spans="1:2" x14ac:dyDescent="0.2">
      <c r="A73" s="21">
        <v>7053007</v>
      </c>
      <c r="B73" s="18" t="str">
        <f ca="1">IFERROR(__xludf.DUMMYFUNCTION("GOOGLETRANSLATE(C5371,""en"",""hr"")"),"Ruka upravljača desna")</f>
        <v>Ruka upravljača desna</v>
      </c>
    </row>
    <row r="74" spans="1:2" x14ac:dyDescent="0.2">
      <c r="A74" s="21">
        <v>7053009</v>
      </c>
      <c r="B74" s="18" t="str">
        <f ca="1">IFERROR(__xludf.DUMMYFUNCTION("GOOGLETRANSLATE(C5377,""en"",""hr"")"),"Stup upravljača")</f>
        <v>Stup upravljača</v>
      </c>
    </row>
    <row r="75" spans="1:2" x14ac:dyDescent="0.2">
      <c r="A75" s="21">
        <v>7053010</v>
      </c>
      <c r="B75" s="18" t="str">
        <f ca="1">IFERROR(__xludf.DUMMYFUNCTION("GOOGLETRANSLATE(C5343,""en"",""hr"")"),"Stup upravljača")</f>
        <v>Stup upravljača</v>
      </c>
    </row>
    <row r="76" spans="1:2" x14ac:dyDescent="0.2">
      <c r="A76" s="21">
        <v>7053063</v>
      </c>
      <c r="B76" s="18" t="str">
        <f ca="1">IFERROR(__xludf.DUMMYFUNCTION("GOOGLETRANSLATE(C5525,""en"",""hr"")"),"Izmjenjivač topline kpl.")</f>
        <v>Izmjenjivač topline kpl.</v>
      </c>
    </row>
    <row r="77" spans="1:2" x14ac:dyDescent="0.2">
      <c r="A77" s="21">
        <v>7053065</v>
      </c>
      <c r="B77" s="18" t="str">
        <f ca="1">IFERROR(__xludf.DUMMYFUNCTION("GOOGLETRANSLATE(C5527,""en"",""hr"")"),"Kondenzator i ventilator")</f>
        <v>Kondenzator i ventilator</v>
      </c>
    </row>
    <row r="78" spans="1:2" x14ac:dyDescent="0.2">
      <c r="A78" s="21">
        <v>7053134</v>
      </c>
      <c r="B78" s="18" t="str">
        <f ca="1">IFERROR(__xludf.DUMMYFUNCTION("GOOGLETRANSLATE(C6679,""en"",""hr"")"),"Kabel adaptera")</f>
        <v>Kabel adaptera</v>
      </c>
    </row>
    <row r="79" spans="1:2" x14ac:dyDescent="0.2">
      <c r="A79" s="21">
        <v>7053138</v>
      </c>
      <c r="B79" s="18" t="str">
        <f ca="1">IFERROR(__xludf.DUMMYFUNCTION("GOOGLETRANSLATE(C6680,""en"",""hr"")"),"Kabel adaptera")</f>
        <v>Kabel adaptera</v>
      </c>
    </row>
    <row r="80" spans="1:2" x14ac:dyDescent="0.2">
      <c r="A80" s="21">
        <v>7053351</v>
      </c>
      <c r="B80" s="18" t="str">
        <f ca="1">IFERROR(__xludf.DUMMYFUNCTION("GOOGLETRANSLATE(C459,""en"",""hr"")"),"Čahura s prorezima")</f>
        <v>Čahura s prorezima</v>
      </c>
    </row>
    <row r="81" spans="1:2" x14ac:dyDescent="0.2">
      <c r="A81" s="21">
        <v>7053443</v>
      </c>
      <c r="B81" s="18" t="str">
        <f ca="1">IFERROR(__xludf.DUMMYFUNCTION("GOOGLETRANSLATE(C242,""en"",""hr"")"),"Cijev za punjenje zraka Filter-Turbo")</f>
        <v>Cijev za punjenje zraka Filter-Turbo</v>
      </c>
    </row>
    <row r="82" spans="1:2" x14ac:dyDescent="0.2">
      <c r="A82" s="21">
        <v>7053468</v>
      </c>
      <c r="B82" s="18" t="str">
        <f ca="1">IFERROR(__xludf.DUMMYFUNCTION("GOOGLETRANSLATE(C1909,""en"",""hr"")"),"Napetost opruge")</f>
        <v>Napetost opruge</v>
      </c>
    </row>
    <row r="83" spans="1:2" x14ac:dyDescent="0.2">
      <c r="A83" s="21">
        <v>7053502</v>
      </c>
      <c r="B83" s="18" t="str">
        <f ca="1">IFERROR(__xludf.DUMMYFUNCTION("GOOGLETRANSLATE(C1413,""en"",""hr"")"),"Držač")</f>
        <v>Držač</v>
      </c>
    </row>
    <row r="84" spans="1:2" x14ac:dyDescent="0.2">
      <c r="A84" s="21">
        <v>7053538</v>
      </c>
      <c r="B84" s="18" t="str">
        <f ca="1">IFERROR(__xludf.DUMMYFUNCTION("GOOGLETRANSLATE(C974,""en"",""hr"")"),"Kontrolna jedinica")</f>
        <v>Kontrolna jedinica</v>
      </c>
    </row>
    <row r="85" spans="1:2" x14ac:dyDescent="0.2">
      <c r="A85" s="21">
        <v>7053574</v>
      </c>
      <c r="B85" s="18" t="str">
        <f ca="1">IFERROR(__xludf.DUMMYFUNCTION("GOOGLETRANSLATE(C4360,""en"",""hr"")"),"Kotač za trčanje")</f>
        <v>Kotač za trčanje</v>
      </c>
    </row>
    <row r="86" spans="1:2" x14ac:dyDescent="0.2">
      <c r="A86" s="21">
        <v>7053610</v>
      </c>
      <c r="B86" s="18" t="str">
        <f ca="1">IFERROR(__xludf.DUMMYFUNCTION("GOOGLETRANSLATE(C1351,""en"",""hr"")"),"Cijev")</f>
        <v>Cijev</v>
      </c>
    </row>
    <row r="87" spans="1:2" x14ac:dyDescent="0.2">
      <c r="A87" s="21">
        <v>7053622</v>
      </c>
      <c r="B87" s="18" t="str">
        <f ca="1">IFERROR(__xludf.DUMMYFUNCTION("GOOGLETRANSLATE(C1352,""en"",""hr"")"),"Cijev")</f>
        <v>Cijev</v>
      </c>
    </row>
    <row r="88" spans="1:2" x14ac:dyDescent="0.2">
      <c r="A88" s="21">
        <v>7053650</v>
      </c>
      <c r="B88" s="18" t="str">
        <f ca="1">IFERROR(__xludf.DUMMYFUNCTION("GOOGLETRANSLATE(C48,""en"",""hr"")"),"Gumena brtva")</f>
        <v>Gumena brtva</v>
      </c>
    </row>
    <row r="89" spans="1:2" x14ac:dyDescent="0.2">
      <c r="A89" s="21">
        <v>7053651</v>
      </c>
      <c r="B89" s="18" t="str">
        <f ca="1">IFERROR(__xludf.DUMMYFUNCTION("GOOGLETRANSLATE(C4266,""en"",""hr"")"),"Stezni prsten")</f>
        <v>Stezni prsten</v>
      </c>
    </row>
    <row r="90" spans="1:2" x14ac:dyDescent="0.2">
      <c r="A90" s="21">
        <v>7053658</v>
      </c>
      <c r="B90" s="18" t="str">
        <f ca="1">IFERROR(__xludf.DUMMYFUNCTION("GOOGLETRANSLATE(C4416,""en"",""hr"")"),"Držač vijaka")</f>
        <v>Držač vijaka</v>
      </c>
    </row>
    <row r="91" spans="1:2" x14ac:dyDescent="0.2">
      <c r="A91" s="21">
        <v>7053685</v>
      </c>
      <c r="B91" s="18" t="str">
        <f ca="1">IFERROR(__xludf.DUMMYFUNCTION("GOOGLETRANSLATE(C4307,""en"",""hr"")"),"Poklopac")</f>
        <v>Poklopac</v>
      </c>
    </row>
    <row r="92" spans="1:2" x14ac:dyDescent="0.2">
      <c r="A92" s="21">
        <v>7053690</v>
      </c>
      <c r="B92" s="18" t="str">
        <f ca="1">IFERROR(__xludf.DUMMYFUNCTION("GOOGLETRANSLATE(C4343,""en"",""hr"")"),"Držač ventila za rekuperaciju")</f>
        <v>Držač ventila za rekuperaciju</v>
      </c>
    </row>
    <row r="93" spans="1:2" x14ac:dyDescent="0.2">
      <c r="A93" s="21">
        <v>7053692</v>
      </c>
      <c r="B93" s="18" t="str">
        <f ca="1">IFERROR(__xludf.DUMMYFUNCTION("GOOGLETRANSLATE(C4339,""en"",""hr"")"),"Ventil za rekuperaciju kpl.")</f>
        <v>Ventil za rekuperaciju kpl.</v>
      </c>
    </row>
    <row r="94" spans="1:2" x14ac:dyDescent="0.2">
      <c r="A94" s="21">
        <v>7053696</v>
      </c>
      <c r="B94" s="18" t="str">
        <f ca="1">IFERROR(__xludf.DUMMYFUNCTION("GOOGLETRANSLATE(C4309,""en"",""hr"")"),"Bočna vodilica")</f>
        <v>Bočna vodilica</v>
      </c>
    </row>
    <row r="95" spans="1:2" x14ac:dyDescent="0.2">
      <c r="A95" s="21">
        <v>7053863</v>
      </c>
      <c r="B95" s="18" t="str">
        <f ca="1">IFERROR(__xludf.DUMMYFUNCTION("GOOGLETRANSLATE(C1147,""en"",""hr"")"),"Adapter")</f>
        <v>Adapter</v>
      </c>
    </row>
    <row r="96" spans="1:2" x14ac:dyDescent="0.2">
      <c r="A96" s="21">
        <v>7053932</v>
      </c>
      <c r="B96" s="18" t="str">
        <f ca="1">IFERROR(__xludf.DUMMYFUNCTION("GOOGLETRANSLATE(C4418,""en"",""hr"")"),"Međuspremnik disk")</f>
        <v>Međuspremnik disk</v>
      </c>
    </row>
    <row r="97" spans="1:2" x14ac:dyDescent="0.2">
      <c r="A97" s="21">
        <v>7053972</v>
      </c>
      <c r="B97" s="18" t="str">
        <f ca="1">IFERROR(__xludf.DUMMYFUNCTION("GOOGLETRANSLATE(C704,""en"",""hr"")"),"Pogon na kotačima")</f>
        <v>Pogon na kotačima</v>
      </c>
    </row>
    <row r="98" spans="1:2" x14ac:dyDescent="0.2">
      <c r="A98" s="21">
        <v>7053990</v>
      </c>
      <c r="B98" s="18" t="str">
        <f ca="1">IFERROR(__xludf.DUMMYFUNCTION("GOOGLETRANSLATE(C4329,""en"",""hr"")"),"Poklopna ploča")</f>
        <v>Poklopna ploča</v>
      </c>
    </row>
    <row r="99" spans="1:2" x14ac:dyDescent="0.2">
      <c r="A99" s="21">
        <v>7053998</v>
      </c>
      <c r="B99" s="18" t="str">
        <f ca="1">IFERROR(__xludf.DUMMYFUNCTION("GOOGLETRANSLATE(C932,""en"",""hr"")"),"Držač")</f>
        <v>Držač</v>
      </c>
    </row>
    <row r="100" spans="1:2" x14ac:dyDescent="0.2">
      <c r="A100" s="21">
        <v>7053999</v>
      </c>
      <c r="B100" s="18" t="str">
        <f ca="1">IFERROR(__xludf.DUMMYFUNCTION("GOOGLETRANSLATE(C934,""en"",""hr"")"),"Držač")</f>
        <v>Držač</v>
      </c>
    </row>
    <row r="101" spans="1:2" x14ac:dyDescent="0.2">
      <c r="A101" s="21">
        <v>7054066</v>
      </c>
      <c r="B101" s="18" t="str">
        <f ca="1">IFERROR(__xludf.DUMMYFUNCTION("GOOGLETRANSLATE(C1213,""en"",""hr"")"),"Isječak")</f>
        <v>Isječak</v>
      </c>
    </row>
    <row r="102" spans="1:2" x14ac:dyDescent="0.2">
      <c r="A102" s="21">
        <v>7054169</v>
      </c>
      <c r="B102" s="18" t="str">
        <f ca="1">IFERROR(__xludf.DUMMYFUNCTION("GOOGLETRANSLATE(C1928,""en"",""hr"")"),"Bočna metla unaprijed sastavljena lijevo")</f>
        <v>Bočna metla unaprijed sastavljena lijevo</v>
      </c>
    </row>
    <row r="103" spans="1:2" x14ac:dyDescent="0.2">
      <c r="A103" s="21">
        <v>7054176</v>
      </c>
      <c r="B103" s="18" t="str">
        <f ca="1">IFERROR(__xludf.DUMMYFUNCTION("GOOGLETRANSLATE(C402,""en"",""hr"")"),"Artikulacija")</f>
        <v>Artikulacija</v>
      </c>
    </row>
    <row r="104" spans="1:2" x14ac:dyDescent="0.2">
      <c r="A104" s="21">
        <v>7054186</v>
      </c>
      <c r="B104" s="18" t="str">
        <f ca="1">IFERROR(__xludf.DUMMYFUNCTION("GOOGLETRANSLATE(C618,""en"",""hr"")"),"Prirubnica ležaja")</f>
        <v>Prirubnica ležaja</v>
      </c>
    </row>
    <row r="105" spans="1:2" x14ac:dyDescent="0.2">
      <c r="A105" s="21">
        <v>7054187</v>
      </c>
      <c r="B105" s="18" t="str">
        <f ca="1">IFERROR(__xludf.DUMMYFUNCTION("GOOGLETRANSLATE(C791,""en"",""hr"")"),"Glavčina kotača")</f>
        <v>Glavčina kotača</v>
      </c>
    </row>
    <row r="106" spans="1:2" x14ac:dyDescent="0.2">
      <c r="A106" s="21">
        <v>7054190</v>
      </c>
      <c r="B106" s="18" t="str">
        <f ca="1">IFERROR(__xludf.DUMMYFUNCTION("GOOGLETRANSLATE(C792,""en"",""hr"")"),"Prirubnica adaptera")</f>
        <v>Prirubnica adaptera</v>
      </c>
    </row>
    <row r="107" spans="1:2" x14ac:dyDescent="0.2">
      <c r="A107" s="21">
        <v>7054196</v>
      </c>
      <c r="B107" s="18" t="str">
        <f ca="1">IFERROR(__xludf.DUMMYFUNCTION("GOOGLETRANSLATE(C741,""en"",""hr"")"),"Prtljažnik kotača kpl. lijevo")</f>
        <v>Prtljažnik kotača kpl. lijevo</v>
      </c>
    </row>
    <row r="108" spans="1:2" x14ac:dyDescent="0.2">
      <c r="A108" s="21">
        <v>7054241</v>
      </c>
      <c r="B108" s="18" t="str">
        <f ca="1">IFERROR(__xludf.DUMMYFUNCTION("GOOGLETRANSLATE(C6364,""en"",""hr"")"),"Upravljačka jedinica BCM")</f>
        <v>Upravljačka jedinica BCM</v>
      </c>
    </row>
    <row r="109" spans="1:2" x14ac:dyDescent="0.2">
      <c r="A109" s="21">
        <v>7054265</v>
      </c>
      <c r="B109" s="18" t="str">
        <f ca="1">IFERROR(__xludf.DUMMYFUNCTION("GOOGLETRANSLATE(C1944,""en"",""hr"")"),"Spojna ploča")</f>
        <v>Spojna ploča</v>
      </c>
    </row>
    <row r="110" spans="1:2" x14ac:dyDescent="0.2">
      <c r="A110" s="21">
        <v>7054286</v>
      </c>
      <c r="B110" s="18" t="str">
        <f ca="1">IFERROR(__xludf.DUMMYFUNCTION("GOOGLETRANSLATE(C6363,""en"",""hr"")"),"Upravljačka jedinica JCM")</f>
        <v>Upravljačka jedinica JCM</v>
      </c>
    </row>
    <row r="111" spans="1:2" x14ac:dyDescent="0.2">
      <c r="A111" s="21">
        <v>7054322</v>
      </c>
      <c r="B111" s="18" t="str">
        <f ca="1">IFERROR(__xludf.DUMMYFUNCTION("GOOGLETRANSLATE(C1091,""en"",""hr"")"),"Spremnik goriva kpl. NA")</f>
        <v>Spremnik goriva kpl. NA</v>
      </c>
    </row>
    <row r="112" spans="1:2" x14ac:dyDescent="0.2">
      <c r="A112" s="21">
        <v>7054341</v>
      </c>
      <c r="B112" s="18" t="str">
        <f ca="1">IFERROR(__xludf.DUMMYFUNCTION("GOOGLETRANSLATE(C3091,""en"",""hr"")"),"Usisna usta")</f>
        <v>Usisna usta</v>
      </c>
    </row>
    <row r="113" spans="1:2" x14ac:dyDescent="0.2">
      <c r="A113" s="21">
        <v>7054356</v>
      </c>
      <c r="B113" s="18" t="str">
        <f ca="1">IFERROR(__xludf.DUMMYFUNCTION("GOOGLETRANSLATE(C3049,""en"",""hr"")"),"Usisna usta kpl.")</f>
        <v>Usisna usta kpl.</v>
      </c>
    </row>
    <row r="114" spans="1:2" x14ac:dyDescent="0.2">
      <c r="A114" s="21">
        <v>7054417</v>
      </c>
      <c r="B114" s="18" t="str">
        <f ca="1">IFERROR(__xludf.DUMMYFUNCTION("GOOGLETRANSLATE(C3944,""en"",""hr"")"),"Hidraulički blok kpl.")</f>
        <v>Hidraulički blok kpl.</v>
      </c>
    </row>
    <row r="115" spans="1:2" x14ac:dyDescent="0.2">
      <c r="A115" s="21">
        <v>7054424</v>
      </c>
      <c r="B115" s="18" t="str">
        <f ca="1">IFERROR(__xludf.DUMMYFUNCTION("GOOGLETRANSLATE(C5778,""en"",""hr"")"),"Držač pumpe")</f>
        <v>Držač pumpe</v>
      </c>
    </row>
    <row r="116" spans="1:2" x14ac:dyDescent="0.2">
      <c r="A116" s="21">
        <v>7054438</v>
      </c>
      <c r="B116" s="18" t="str">
        <f ca="1">IFERROR(__xludf.DUMMYFUNCTION("GOOGLETRANSLATE(C494,""en"",""hr"")"),"Lisnata opruga")</f>
        <v>Lisnata opruga</v>
      </c>
    </row>
    <row r="117" spans="1:2" x14ac:dyDescent="0.2">
      <c r="A117" s="21">
        <v>7054452</v>
      </c>
      <c r="B117" s="18" t="str">
        <f ca="1">IFERROR(__xludf.DUMMYFUNCTION("GOOGLETRANSLATE(C4467,""en"",""hr"")"),"Vijak")</f>
        <v>Vijak</v>
      </c>
    </row>
    <row r="118" spans="1:2" x14ac:dyDescent="0.2">
      <c r="A118" s="21">
        <v>7054467</v>
      </c>
      <c r="B118" s="18" t="str">
        <f ca="1">IFERROR(__xludf.DUMMYFUNCTION("GOOGLETRANSLATE(C4466,""en"",""hr"")"),"Nagnuta rešetka")</f>
        <v>Nagnuta rešetka</v>
      </c>
    </row>
    <row r="119" spans="1:2" x14ac:dyDescent="0.2">
      <c r="A119" s="21">
        <v>7054492</v>
      </c>
      <c r="B119" s="18" t="str">
        <f ca="1">IFERROR(__xludf.DUMMYFUNCTION("GOOGLETRANSLATE(C1911,""en"",""hr"")"),"Napetost opruge")</f>
        <v>Napetost opruge</v>
      </c>
    </row>
    <row r="120" spans="1:2" x14ac:dyDescent="0.2">
      <c r="A120" s="21">
        <v>7054565</v>
      </c>
      <c r="B120" s="18" t="str">
        <f ca="1">IFERROR(__xludf.DUMMYFUNCTION("GOOGLETRANSLATE(C1424,""en"",""hr"")"),"Komplet rezervnih dijelova AdBlue+rashladne linije")</f>
        <v>Komplet rezervnih dijelova AdBlue+rashladne linije</v>
      </c>
    </row>
    <row r="121" spans="1:2" x14ac:dyDescent="0.2">
      <c r="A121" s="21">
        <v>7054568</v>
      </c>
      <c r="B121" s="18" t="str">
        <f ca="1">IFERROR(__xludf.DUMMYFUNCTION("GOOGLETRANSLATE(C1350,""en"",""hr"")"),"Cijev")</f>
        <v>Cijev</v>
      </c>
    </row>
    <row r="122" spans="1:2" x14ac:dyDescent="0.2">
      <c r="A122" s="21">
        <v>7054576</v>
      </c>
      <c r="B122" s="18" t="str">
        <f ca="1">IFERROR(__xludf.DUMMYFUNCTION("GOOGLETRANSLATE(C1929,""en"",""hr"")"),"Bočna metla unaprijed sastavljena desno")</f>
        <v>Bočna metla unaprijed sastavljena desno</v>
      </c>
    </row>
    <row r="123" spans="1:2" x14ac:dyDescent="0.2">
      <c r="A123" s="21">
        <v>7054592</v>
      </c>
      <c r="B123" s="18" t="str">
        <f ca="1">IFERROR(__xludf.DUMMYFUNCTION("GOOGLETRANSLATE(C1872,""en"",""hr"")"),"Bočne četke kpl. lijevo i desno")</f>
        <v>Bočne četke kpl. lijevo i desno</v>
      </c>
    </row>
    <row r="124" spans="1:2" x14ac:dyDescent="0.2">
      <c r="A124" s="21">
        <v>7054617</v>
      </c>
      <c r="B124" s="18" t="str">
        <f ca="1">IFERROR(__xludf.DUMMYFUNCTION("GOOGLETRANSLATE(C1399,""en"",""hr"")"),"Ploča za pričvršćivanje")</f>
        <v>Ploča za pričvršćivanje</v>
      </c>
    </row>
    <row r="125" spans="1:2" x14ac:dyDescent="0.2">
      <c r="A125" s="21">
        <v>7054854</v>
      </c>
      <c r="B125" s="18" t="str">
        <f ca="1">IFERROR(__xludf.DUMMYFUNCTION("GOOGLETRANSLATE(C5779,""en"",""hr"")"),"Pandžasti prsten kvačila")</f>
        <v>Pandžasti prsten kvačila</v>
      </c>
    </row>
    <row r="126" spans="1:2" x14ac:dyDescent="0.2">
      <c r="A126" s="21">
        <v>7054855</v>
      </c>
      <c r="B126" s="18" t="str">
        <f ca="1">IFERROR(__xludf.DUMMYFUNCTION("GOOGLETRANSLATE(C5780,""en"",""hr"")"),"Pumpa kandžaste spojke")</f>
        <v>Pumpa kandžaste spojke</v>
      </c>
    </row>
    <row r="127" spans="1:2" x14ac:dyDescent="0.2">
      <c r="A127" s="21">
        <v>7054858</v>
      </c>
      <c r="B127" s="18" t="str">
        <f ca="1">IFERROR(__xludf.DUMMYFUNCTION("GOOGLETRANSLATE(C5751,""en"",""hr"")"),"Montažna ploča")</f>
        <v>Montažna ploča</v>
      </c>
    </row>
    <row r="128" spans="1:2" x14ac:dyDescent="0.2">
      <c r="A128" s="21">
        <v>7055054</v>
      </c>
      <c r="B128" s="18" t="str">
        <f ca="1">IFERROR(__xludf.DUMMYFUNCTION("GOOGLETRANSLATE(C5814,""en"",""hr"")"),"Montažna ploča")</f>
        <v>Montažna ploča</v>
      </c>
    </row>
    <row r="129" spans="1:2" x14ac:dyDescent="0.2">
      <c r="A129" s="21">
        <v>7055069</v>
      </c>
      <c r="B129" s="18" t="str">
        <f ca="1">IFERROR(__xludf.DUMMYFUNCTION("GOOGLETRANSLATE(C501,""en"",""hr"")"),"Ventil za punjenje akumulatora")</f>
        <v>Ventil za punjenje akumulatora</v>
      </c>
    </row>
    <row r="130" spans="1:2" x14ac:dyDescent="0.2">
      <c r="A130" s="21">
        <v>7055077</v>
      </c>
      <c r="B130" s="18" t="str">
        <f ca="1">IFERROR(__xludf.DUMMYFUNCTION("GOOGLETRANSLATE(C1339,""en"",""hr"")"),"Držač")</f>
        <v>Držač</v>
      </c>
    </row>
    <row r="131" spans="1:2" x14ac:dyDescent="0.2">
      <c r="A131" s="21">
        <v>7055078</v>
      </c>
      <c r="B131" s="18" t="str">
        <f ca="1">IFERROR(__xludf.DUMMYFUNCTION("GOOGLETRANSLATE(C1338,""en"",""hr"")"),"Držač")</f>
        <v>Držač</v>
      </c>
    </row>
    <row r="132" spans="1:2" x14ac:dyDescent="0.2">
      <c r="A132" s="21">
        <v>7055085</v>
      </c>
      <c r="B132" s="18" t="str">
        <f ca="1">IFERROR(__xludf.DUMMYFUNCTION("GOOGLETRANSLATE(C1349,""en"",""hr"")"),"Držač")</f>
        <v>Držač</v>
      </c>
    </row>
    <row r="133" spans="1:2" x14ac:dyDescent="0.2">
      <c r="A133" s="21">
        <v>7055090</v>
      </c>
      <c r="B133" s="18" t="str">
        <f ca="1">IFERROR(__xludf.DUMMYFUNCTION("GOOGLETRANSLATE(C1528,""en"",""hr"")"),"Inverter")</f>
        <v>Inverter</v>
      </c>
    </row>
    <row r="134" spans="1:2" x14ac:dyDescent="0.2">
      <c r="A134" s="21">
        <v>7055163</v>
      </c>
      <c r="B134" s="18" t="str">
        <f ca="1">IFERROR(__xludf.DUMMYFUNCTION("GOOGLETRANSLATE(C1386,""en"",""hr"")"),"Guma")</f>
        <v>Guma</v>
      </c>
    </row>
    <row r="135" spans="1:2" x14ac:dyDescent="0.2">
      <c r="A135" s="21">
        <v>7055166</v>
      </c>
      <c r="B135" s="18" t="str">
        <f ca="1">IFERROR(__xludf.DUMMYFUNCTION("GOOGLETRANSLATE(C1385,""en"",""hr"")"),"Zatezna traka")</f>
        <v>Zatezna traka</v>
      </c>
    </row>
    <row r="136" spans="1:2" x14ac:dyDescent="0.2">
      <c r="A136" s="21">
        <v>7055167</v>
      </c>
      <c r="B136" s="18" t="str">
        <f ca="1">IFERROR(__xludf.DUMMYFUNCTION("GOOGLETRANSLATE(C1387,""en"",""hr"")"),"Stezni vijak")</f>
        <v>Stezni vijak</v>
      </c>
    </row>
    <row r="137" spans="1:2" x14ac:dyDescent="0.2">
      <c r="A137" s="21">
        <v>7055168</v>
      </c>
      <c r="B137" s="18" t="str">
        <f ca="1">IFERROR(__xludf.DUMMYFUNCTION("GOOGLETRANSLATE(C1388,""en"",""hr"")"),"Zagrada")</f>
        <v>Zagrada</v>
      </c>
    </row>
    <row r="138" spans="1:2" x14ac:dyDescent="0.2">
      <c r="A138" s="21">
        <v>7055175</v>
      </c>
      <c r="B138" s="18" t="str">
        <f ca="1">IFERROR(__xludf.DUMMYFUNCTION("GOOGLETRANSLATE(C67,""en"",""hr"")"),"Kočioni disk")</f>
        <v>Kočioni disk</v>
      </c>
    </row>
    <row r="139" spans="1:2" x14ac:dyDescent="0.2">
      <c r="A139" s="21">
        <v>7055185</v>
      </c>
      <c r="B139" s="18" t="str">
        <f ca="1">IFERROR(__xludf.DUMMYFUNCTION("GOOGLETRANSLATE(C5755,""en"",""hr"")"),"Poklopac filtra")</f>
        <v>Poklopac filtra</v>
      </c>
    </row>
    <row r="140" spans="1:2" x14ac:dyDescent="0.2">
      <c r="A140" s="21">
        <v>7055229</v>
      </c>
      <c r="B140" s="18" t="str">
        <f ca="1">IFERROR(__xludf.DUMMYFUNCTION("GOOGLETRANSLATE(C5819,""en"",""hr"")"),"Ventilator upravljačkog bloka")</f>
        <v>Ventilator upravljačkog bloka</v>
      </c>
    </row>
    <row r="141" spans="1:2" x14ac:dyDescent="0.2">
      <c r="A141" s="21">
        <v>7055230</v>
      </c>
      <c r="B141" s="18" t="str">
        <f ca="1">IFERROR(__xludf.DUMMYFUNCTION("GOOGLETRANSLATE(C68,""en"",""hr"")"),"Sedlo")</f>
        <v>Sedlo</v>
      </c>
    </row>
    <row r="142" spans="1:2" x14ac:dyDescent="0.2">
      <c r="A142" s="21">
        <v>7055300</v>
      </c>
      <c r="B142" s="18" t="str">
        <f ca="1">IFERROR(__xludf.DUMMYFUNCTION("GOOGLETRANSLATE(C5827,""en"",""hr"")"),"Poklopac filtra")</f>
        <v>Poklopac filtra</v>
      </c>
    </row>
    <row r="143" spans="1:2" x14ac:dyDescent="0.2">
      <c r="A143" s="21">
        <v>7055449</v>
      </c>
      <c r="B143" s="18" t="str">
        <f ca="1">IFERROR(__xludf.DUMMYFUNCTION("GOOGLETRANSLATE(C5362,""en"",""hr"")"),"Ovratnik")</f>
        <v>Ovratnik</v>
      </c>
    </row>
    <row r="144" spans="1:2" x14ac:dyDescent="0.2">
      <c r="A144" s="21">
        <v>7055450</v>
      </c>
      <c r="B144" s="18" t="str">
        <f ca="1">IFERROR(__xludf.DUMMYFUNCTION("GOOGLETRANSLATE(C5363,""en"",""hr"")"),"Ovratnik")</f>
        <v>Ovratnik</v>
      </c>
    </row>
    <row r="145" spans="1:2" x14ac:dyDescent="0.2">
      <c r="A145" s="21">
        <v>7055523</v>
      </c>
      <c r="B145" s="18" t="str">
        <f ca="1">IFERROR(__xludf.DUMMYFUNCTION("GOOGLETRANSLATE(C5835,""en"",""hr"")"),"Cijev")</f>
        <v>Cijev</v>
      </c>
    </row>
    <row r="146" spans="1:2" x14ac:dyDescent="0.2">
      <c r="A146" s="21">
        <v>7055529</v>
      </c>
      <c r="B146" s="18" t="str">
        <f ca="1">IFERROR(__xludf.DUMMYFUNCTION("GOOGLETRANSLATE(C3066,""en"",""hr"")"),"Perforirana ploča")</f>
        <v>Perforirana ploča</v>
      </c>
    </row>
    <row r="147" spans="1:2" x14ac:dyDescent="0.2">
      <c r="A147" s="21">
        <v>7055549</v>
      </c>
      <c r="B147" s="18" t="str">
        <f ca="1">IFERROR(__xludf.DUMMYFUNCTION("GOOGLETRANSLATE(C5881,""en"",""hr"")"),"Crijevo")</f>
        <v>Crijevo</v>
      </c>
    </row>
    <row r="148" spans="1:2" x14ac:dyDescent="0.2">
      <c r="A148" s="21">
        <v>7055555</v>
      </c>
      <c r="B148" s="18" t="str">
        <f ca="1">IFERROR(__xludf.DUMMYFUNCTION("GOOGLETRANSLATE(C5882,""en"",""hr"")"),"Crijevo")</f>
        <v>Crijevo</v>
      </c>
    </row>
    <row r="149" spans="1:2" x14ac:dyDescent="0.2">
      <c r="A149" s="21">
        <v>7055591</v>
      </c>
      <c r="B149" s="18" t="str">
        <f ca="1">IFERROR(__xludf.DUMMYFUNCTION("GOOGLETRANSLATE(C1458,""en"",""hr"")"),"Kotač ventilatora")</f>
        <v>Kotač ventilatora</v>
      </c>
    </row>
    <row r="150" spans="1:2" x14ac:dyDescent="0.2">
      <c r="A150" s="21">
        <v>7055605</v>
      </c>
      <c r="B150" s="18" t="str">
        <f ca="1">IFERROR(__xludf.DUMMYFUNCTION("GOOGLETRANSLATE(C5942,""en"",""hr"")"),"Cijev")</f>
        <v>Cijev</v>
      </c>
    </row>
    <row r="151" spans="1:2" x14ac:dyDescent="0.2">
      <c r="A151" s="21">
        <v>7055611</v>
      </c>
      <c r="B151" s="18" t="str">
        <f ca="1">IFERROR(__xludf.DUMMYFUNCTION("GOOGLETRANSLATE(C5962,""en"",""hr"")"),"Crijevo")</f>
        <v>Crijevo</v>
      </c>
    </row>
    <row r="152" spans="1:2" x14ac:dyDescent="0.2">
      <c r="A152" s="21">
        <v>7055612</v>
      </c>
      <c r="B152" s="18" t="str">
        <f ca="1">IFERROR(__xludf.DUMMYFUNCTION("GOOGLETRANSLATE(C5944,""en"",""hr"")"),"Cijev")</f>
        <v>Cijev</v>
      </c>
    </row>
    <row r="153" spans="1:2" x14ac:dyDescent="0.2">
      <c r="A153" s="21">
        <v>7055621</v>
      </c>
      <c r="B153" s="18" t="str">
        <f ca="1">IFERROR(__xludf.DUMMYFUNCTION("GOOGLETRANSLATE(C5512,""en"",""hr"")"),"Vodeni ventil")</f>
        <v>Vodeni ventil</v>
      </c>
    </row>
    <row r="154" spans="1:2" x14ac:dyDescent="0.2">
      <c r="A154" s="21">
        <v>7055623</v>
      </c>
      <c r="B154" s="18" t="str">
        <f ca="1">IFERROR(__xludf.DUMMYFUNCTION("GOOGLETRANSLATE(C18,""en"",""hr"")"),"Sušilo")</f>
        <v>Sušilo</v>
      </c>
    </row>
    <row r="155" spans="1:2" x14ac:dyDescent="0.2">
      <c r="A155" s="21">
        <v>7055703</v>
      </c>
      <c r="B155" s="18" t="str">
        <f ca="1">IFERROR(__xludf.DUMMYFUNCTION("GOOGLETRANSLATE(C5868,""en"",""hr"")"),"Hidraulička pumpa")</f>
        <v>Hidraulička pumpa</v>
      </c>
    </row>
    <row r="156" spans="1:2" x14ac:dyDescent="0.2">
      <c r="A156" s="21">
        <v>7055751</v>
      </c>
      <c r="B156" s="18" t="str">
        <f ca="1">IFERROR(__xludf.DUMMYFUNCTION("GOOGLETRANSLATE(C246,""en"",""hr"")"),"Crijevo za zrak Izlazni hladnjak motora")</f>
        <v>Crijevo za zrak Izlazni hladnjak motora</v>
      </c>
    </row>
    <row r="157" spans="1:2" x14ac:dyDescent="0.2">
      <c r="A157" s="21">
        <v>7055752</v>
      </c>
      <c r="B157" s="18" t="str">
        <f ca="1">IFERROR(__xludf.DUMMYFUNCTION("GOOGLETRANSLATE(C248,""en"",""hr"")"),"Crijevo za zrak hladnjak ulaz motora")</f>
        <v>Crijevo za zrak hladnjak ulaz motora</v>
      </c>
    </row>
    <row r="158" spans="1:2" x14ac:dyDescent="0.2">
      <c r="A158" s="21">
        <v>7055775</v>
      </c>
      <c r="B158" s="18" t="str">
        <f ca="1">IFERROR(__xludf.DUMMYFUNCTION("GOOGLETRANSLATE(C5837,""en"",""hr"")"),"Cijev")</f>
        <v>Cijev</v>
      </c>
    </row>
    <row r="159" spans="1:2" x14ac:dyDescent="0.2">
      <c r="A159" s="21">
        <v>7055776</v>
      </c>
      <c r="B159" s="18" t="str">
        <f ca="1">IFERROR(__xludf.DUMMYFUNCTION("GOOGLETRANSLATE(C5838,""en"",""hr"")"),"Cijev")</f>
        <v>Cijev</v>
      </c>
    </row>
    <row r="160" spans="1:2" x14ac:dyDescent="0.2">
      <c r="A160" s="21">
        <v>7055777</v>
      </c>
      <c r="B160" s="18" t="str">
        <f ca="1">IFERROR(__xludf.DUMMYFUNCTION("GOOGLETRANSLATE(C5839,""en"",""hr"")"),"Cijev")</f>
        <v>Cijev</v>
      </c>
    </row>
    <row r="161" spans="1:2" x14ac:dyDescent="0.2">
      <c r="A161" s="21">
        <v>7055788</v>
      </c>
      <c r="B161" s="18" t="str">
        <f ca="1">IFERROR(__xludf.DUMMYFUNCTION("GOOGLETRANSLATE(C3623,""en"",""hr"")"),"Složeni okov")</f>
        <v>Složeni okov</v>
      </c>
    </row>
    <row r="162" spans="1:2" x14ac:dyDescent="0.2">
      <c r="A162" s="21">
        <v>7055813</v>
      </c>
      <c r="B162" s="18" t="str">
        <f ca="1">IFERROR(__xludf.DUMMYFUNCTION("GOOGLETRANSLATE(C3163,""en"",""hr"")"),"Stezaljka za cijevi")</f>
        <v>Stezaljka za cijevi</v>
      </c>
    </row>
    <row r="163" spans="1:2" x14ac:dyDescent="0.2">
      <c r="A163" s="21">
        <v>7055818</v>
      </c>
      <c r="B163" s="18" t="str">
        <f ca="1">IFERROR(__xludf.DUMMYFUNCTION("GOOGLETRANSLATE(C1487,""en"",""hr"")"),"Električni dodatni grijač")</f>
        <v>Električni dodatni grijač</v>
      </c>
    </row>
    <row r="164" spans="1:2" x14ac:dyDescent="0.2">
      <c r="A164" s="21">
        <v>7055838</v>
      </c>
      <c r="B164" s="18" t="str">
        <f ca="1">IFERROR(__xludf.DUMMYFUNCTION("GOOGLETRANSLATE(C305,""en"",""hr"")"),"Ploča")</f>
        <v>Ploča</v>
      </c>
    </row>
    <row r="165" spans="1:2" x14ac:dyDescent="0.2">
      <c r="A165" s="21">
        <v>7055847</v>
      </c>
      <c r="B165" s="18" t="str">
        <f ca="1">IFERROR(__xludf.DUMMYFUNCTION("GOOGLETRANSLATE(C3067,""en"",""hr"")"),"Perforirana ploča")</f>
        <v>Perforirana ploča</v>
      </c>
    </row>
    <row r="166" spans="1:2" x14ac:dyDescent="0.2">
      <c r="A166" s="21">
        <v>7055866</v>
      </c>
      <c r="B166" s="18" t="str">
        <f ca="1">IFERROR(__xludf.DUMMYFUNCTION("GOOGLETRANSLATE(C3161,""en"",""hr"")"),"Distantna čahura")</f>
        <v>Distantna čahura</v>
      </c>
    </row>
    <row r="167" spans="1:2" x14ac:dyDescent="0.2">
      <c r="A167" s="21">
        <v>7055867</v>
      </c>
      <c r="B167" s="18" t="str">
        <f ca="1">IFERROR(__xludf.DUMMYFUNCTION("GOOGLETRANSLATE(C65,""en"",""hr"")"),"Kardansko vratilo")</f>
        <v>Kardansko vratilo</v>
      </c>
    </row>
    <row r="168" spans="1:2" x14ac:dyDescent="0.2">
      <c r="A168" s="21">
        <v>7055886</v>
      </c>
      <c r="B168" s="18" t="str">
        <f ca="1">IFERROR(__xludf.DUMMYFUNCTION("GOOGLETRANSLATE(C4624,""en"",""hr"")"),"Spojka")</f>
        <v>Spojka</v>
      </c>
    </row>
    <row r="169" spans="1:2" x14ac:dyDescent="0.2">
      <c r="A169" s="21">
        <v>7055895</v>
      </c>
      <c r="B169" s="18" t="str">
        <f ca="1">IFERROR(__xludf.DUMMYFUNCTION("GOOGLETRANSLATE(C5387,""en"",""hr"")"),"Volan")</f>
        <v>Volan</v>
      </c>
    </row>
    <row r="170" spans="1:2" x14ac:dyDescent="0.2">
      <c r="A170" s="21">
        <v>7055896</v>
      </c>
      <c r="B170" s="18" t="str">
        <f ca="1">IFERROR(__xludf.DUMMYFUNCTION("GOOGLETRANSLATE(C5388,""en"",""hr"")"),"gumb")</f>
        <v>gumb</v>
      </c>
    </row>
    <row r="171" spans="1:2" x14ac:dyDescent="0.2">
      <c r="A171" s="21">
        <v>7055898</v>
      </c>
      <c r="B171" s="18" t="str">
        <f ca="1">IFERROR(__xludf.DUMMYFUNCTION("GOOGLETRANSLATE(C5386,""en"",""hr"")"),"mijehovi")</f>
        <v>mijehovi</v>
      </c>
    </row>
    <row r="172" spans="1:2" x14ac:dyDescent="0.2">
      <c r="A172" s="21">
        <v>7055913</v>
      </c>
      <c r="B172" s="18" t="str">
        <f ca="1">IFERROR(__xludf.DUMMYFUNCTION("GOOGLETRANSLATE(C283,""en"",""hr"")"),"Pol")</f>
        <v>Pol</v>
      </c>
    </row>
    <row r="173" spans="1:2" x14ac:dyDescent="0.2">
      <c r="A173" s="21">
        <v>7055967</v>
      </c>
      <c r="B173" s="18" t="str">
        <f ca="1">IFERROR(__xludf.DUMMYFUNCTION("GOOGLETRANSLATE(C5024,""en"",""hr"")"),"Klizni prozor")</f>
        <v>Klizni prozor</v>
      </c>
    </row>
    <row r="174" spans="1:2" x14ac:dyDescent="0.2">
      <c r="A174" s="21">
        <v>7055968</v>
      </c>
      <c r="B174" s="18" t="str">
        <f ca="1">IFERROR(__xludf.DUMMYFUNCTION("GOOGLETRANSLATE(C5028,""en"",""hr"")"),"Klizni prozor")</f>
        <v>Klizni prozor</v>
      </c>
    </row>
    <row r="175" spans="1:2" x14ac:dyDescent="0.2">
      <c r="A175" s="21">
        <v>7055971</v>
      </c>
      <c r="B175" s="18" t="str">
        <f ca="1">IFERROR(__xludf.DUMMYFUNCTION("GOOGLETRANSLATE(C5029,""en"",""hr"")"),"Klizni prozor")</f>
        <v>Klizni prozor</v>
      </c>
    </row>
    <row r="176" spans="1:2" x14ac:dyDescent="0.2">
      <c r="A176" s="21">
        <v>7055972</v>
      </c>
      <c r="B176" s="18" t="str">
        <f ca="1">IFERROR(__xludf.DUMMYFUNCTION("GOOGLETRANSLATE(C5025,""en"",""hr"")"),"Klizni prozor")</f>
        <v>Klizni prozor</v>
      </c>
    </row>
    <row r="177" spans="1:2" x14ac:dyDescent="0.2">
      <c r="A177" s="21">
        <v>7055973</v>
      </c>
      <c r="B177" s="18" t="str">
        <f ca="1">IFERROR(__xludf.DUMMYFUNCTION("GOOGLETRANSLATE(C5007,""en"",""hr"")"),"Bočni prozor lijevo")</f>
        <v>Bočni prozor lijevo</v>
      </c>
    </row>
    <row r="178" spans="1:2" x14ac:dyDescent="0.2">
      <c r="A178" s="21">
        <v>7055974</v>
      </c>
      <c r="B178" s="18" t="str">
        <f ca="1">IFERROR(__xludf.DUMMYFUNCTION("GOOGLETRANSLATE(C5008,""en"",""hr"")"),"Desna strana staklene ploče")</f>
        <v>Desna strana staklene ploče</v>
      </c>
    </row>
    <row r="179" spans="1:2" x14ac:dyDescent="0.2">
      <c r="A179" s="21">
        <v>7055975</v>
      </c>
      <c r="B179" s="18" t="str">
        <f ca="1">IFERROR(__xludf.DUMMYFUNCTION("GOOGLETRANSLATE(C4992,""en"",""hr"")"),"Staklena ploha straga lijevo")</f>
        <v>Staklena ploha straga lijevo</v>
      </c>
    </row>
    <row r="180" spans="1:2" x14ac:dyDescent="0.2">
      <c r="A180" s="21">
        <v>7055989</v>
      </c>
      <c r="B180" s="18" t="str">
        <f ca="1">IFERROR(__xludf.DUMMYFUNCTION("GOOGLETRANSLATE(C4710,""en"",""hr"")"),"Pristupna ploča")</f>
        <v>Pristupna ploča</v>
      </c>
    </row>
    <row r="181" spans="1:2" x14ac:dyDescent="0.2">
      <c r="A181" s="21">
        <v>7055998</v>
      </c>
      <c r="B181" s="18" t="str">
        <f ca="1">IFERROR(__xludf.DUMMYFUNCTION("GOOGLETRANSLATE(C4990,""en"",""hr"")"),"Staklena ploha straga desno")</f>
        <v>Staklena ploha straga desno</v>
      </c>
    </row>
    <row r="182" spans="1:2" x14ac:dyDescent="0.2">
      <c r="A182" s="21">
        <v>7056004</v>
      </c>
      <c r="B182" s="18" t="str">
        <f ca="1">IFERROR(__xludf.DUMMYFUNCTION("GOOGLETRANSLATE(C3993,""en"",""hr"")"),"Držač")</f>
        <v>Držač</v>
      </c>
    </row>
    <row r="183" spans="1:2" x14ac:dyDescent="0.2">
      <c r="A183" s="21">
        <v>7056088</v>
      </c>
      <c r="B183" s="18" t="str">
        <f ca="1">IFERROR(__xludf.DUMMYFUNCTION("GOOGLETRANSLATE(C510,""en"",""hr"")"),"Cijev")</f>
        <v>Cijev</v>
      </c>
    </row>
    <row r="184" spans="1:2" x14ac:dyDescent="0.2">
      <c r="A184" s="21">
        <v>7056113</v>
      </c>
      <c r="B184" s="18" t="str">
        <f ca="1">IFERROR(__xludf.DUMMYFUNCTION("GOOGLETRANSLATE(C4359,""en"",""hr"")"),"Poklopac ventilatora")</f>
        <v>Poklopac ventilatora</v>
      </c>
    </row>
    <row r="185" spans="1:2" x14ac:dyDescent="0.2">
      <c r="A185" s="21">
        <v>7056116</v>
      </c>
      <c r="B185" s="18" t="str">
        <f ca="1">IFERROR(__xludf.DUMMYFUNCTION("GOOGLETRANSLATE(C4362,""en"",""hr"")"),"Stezna ploča")</f>
        <v>Stezna ploča</v>
      </c>
    </row>
    <row r="186" spans="1:2" x14ac:dyDescent="0.2">
      <c r="A186" s="21">
        <v>7056118</v>
      </c>
      <c r="B186" s="18" t="str">
        <f ca="1">IFERROR(__xludf.DUMMYFUNCTION("GOOGLETRANSLATE(C1218,""en"",""hr"")"),"Kontrolna jedinica")</f>
        <v>Kontrolna jedinica</v>
      </c>
    </row>
    <row r="187" spans="1:2" x14ac:dyDescent="0.2">
      <c r="A187" s="21">
        <v>7056132</v>
      </c>
      <c r="B187" s="18" t="str">
        <f ca="1">IFERROR(__xludf.DUMMYFUNCTION("GOOGLETRANSLATE(C443,""en"",""hr"")"),"Vijak za pričvršćivanje")</f>
        <v>Vijak za pričvršćivanje</v>
      </c>
    </row>
    <row r="188" spans="1:2" x14ac:dyDescent="0.2">
      <c r="A188" s="21">
        <v>7056134</v>
      </c>
      <c r="B188" s="18" t="str">
        <f ca="1">IFERROR(__xludf.DUMMYFUNCTION("GOOGLETRANSLATE(C933,""en"",""hr"")"),"Držač")</f>
        <v>Držač</v>
      </c>
    </row>
    <row r="189" spans="1:2" x14ac:dyDescent="0.2">
      <c r="A189" s="21">
        <v>7056148</v>
      </c>
      <c r="B189" s="18" t="str">
        <f ca="1">IFERROR(__xludf.DUMMYFUNCTION("GOOGLETRANSLATE(C4361,""en"",""hr"")"),"Hidraulički motor")</f>
        <v>Hidraulički motor</v>
      </c>
    </row>
    <row r="190" spans="1:2" x14ac:dyDescent="0.2">
      <c r="A190" s="21">
        <v>7056170</v>
      </c>
      <c r="B190" s="18" t="str">
        <f ca="1">IFERROR(__xludf.DUMMYFUNCTION("GOOGLETRANSLATE(C6372,""en"",""hr"")"),"Čvor")</f>
        <v>Čvor</v>
      </c>
    </row>
    <row r="191" spans="1:2" x14ac:dyDescent="0.2">
      <c r="A191" s="21">
        <v>7056222</v>
      </c>
      <c r="B191" s="18" t="str">
        <f ca="1">IFERROR(__xludf.DUMMYFUNCTION("GOOGLETRANSLATE(C3467,""en"",""hr"")"),"Indikator razine vode u spremniku")</f>
        <v>Indikator razine vode u spremniku</v>
      </c>
    </row>
    <row r="192" spans="1:2" x14ac:dyDescent="0.2">
      <c r="A192" s="21">
        <v>7056236</v>
      </c>
      <c r="B192" s="18" t="str">
        <f ca="1">IFERROR(__xludf.DUMMYFUNCTION("GOOGLETRANSLATE(C417,""en"",""hr"")"),"Set crijeva kpl.")</f>
        <v>Set crijeva kpl.</v>
      </c>
    </row>
    <row r="193" spans="1:2" x14ac:dyDescent="0.2">
      <c r="A193" s="21">
        <v>7056283</v>
      </c>
      <c r="B193" s="18" t="str">
        <f ca="1">IFERROR(__xludf.DUMMYFUNCTION("GOOGLETRANSLATE(C3132,""en"",""hr"")"),"Priključak usisne cijevi")</f>
        <v>Priključak usisne cijevi</v>
      </c>
    </row>
    <row r="194" spans="1:2" x14ac:dyDescent="0.2">
      <c r="A194" s="21">
        <v>7056293</v>
      </c>
      <c r="B194" s="18" t="str">
        <f ca="1">IFERROR(__xludf.DUMMYFUNCTION("GOOGLETRANSLATE(C2019,""en"",""hr"")"),"Cijev")</f>
        <v>Cijev</v>
      </c>
    </row>
    <row r="195" spans="1:2" x14ac:dyDescent="0.2">
      <c r="A195" s="21">
        <v>7056294</v>
      </c>
      <c r="B195" s="18" t="str">
        <f ca="1">IFERROR(__xludf.DUMMYFUNCTION("GOOGLETRANSLATE(C2018,""en"",""hr"")"),"Cijev")</f>
        <v>Cijev</v>
      </c>
    </row>
    <row r="196" spans="1:2" x14ac:dyDescent="0.2">
      <c r="A196" s="21">
        <v>7056381</v>
      </c>
      <c r="B196" s="18" t="str">
        <f ca="1">IFERROR(__xludf.DUMMYFUNCTION("GOOGLETRANSLATE(C4262,""en"",""hr"")"),"Cijev za umetanje")</f>
        <v>Cijev za umetanje</v>
      </c>
    </row>
    <row r="197" spans="1:2" x14ac:dyDescent="0.2">
      <c r="A197" s="21">
        <v>7056529</v>
      </c>
      <c r="B197" s="18" t="str">
        <f ca="1">IFERROR(__xludf.DUMMYFUNCTION("GOOGLETRANSLATE(C5766,""en"",""hr"")"),"Cijev")</f>
        <v>Cijev</v>
      </c>
    </row>
    <row r="198" spans="1:2" x14ac:dyDescent="0.2">
      <c r="A198" s="21">
        <v>7056553</v>
      </c>
      <c r="B198" s="18" t="str">
        <f ca="1">IFERROR(__xludf.DUMMYFUNCTION("GOOGLETRANSLATE(C5818,""en"",""hr"")"),"Predmontaža bloka ventilatora")</f>
        <v>Predmontaža bloka ventilatora</v>
      </c>
    </row>
    <row r="199" spans="1:2" x14ac:dyDescent="0.2">
      <c r="A199" s="21">
        <v>7056581</v>
      </c>
      <c r="B199" s="18" t="str">
        <f ca="1">IFERROR(__xludf.DUMMYFUNCTION("GOOGLETRANSLATE(C4982,""en"",""hr"")"),"Podna ploča")</f>
        <v>Podna ploča</v>
      </c>
    </row>
    <row r="200" spans="1:2" x14ac:dyDescent="0.2">
      <c r="A200" s="21">
        <v>7056595</v>
      </c>
      <c r="B200" s="18" t="str">
        <f ca="1">IFERROR(__xludf.DUMMYFUNCTION("GOOGLETRANSLATE(C626,""en"",""hr"")"),"Ležaj kotača")</f>
        <v>Ležaj kotača</v>
      </c>
    </row>
    <row r="201" spans="1:2" x14ac:dyDescent="0.2">
      <c r="A201" s="21">
        <v>7056602</v>
      </c>
      <c r="B201" s="18" t="str">
        <f ca="1">IFERROR(__xludf.DUMMYFUNCTION("GOOGLETRANSLATE(C66,""en"",""hr"")"),"Vijak kotača")</f>
        <v>Vijak kotača</v>
      </c>
    </row>
    <row r="202" spans="1:2" x14ac:dyDescent="0.2">
      <c r="A202" s="21">
        <v>7056603</v>
      </c>
      <c r="B202" s="18" t="str">
        <f ca="1">IFERROR(__xludf.DUMMYFUNCTION("GOOGLETRANSLATE(C5306,""en"",""hr"")"),"Zagrada")</f>
        <v>Zagrada</v>
      </c>
    </row>
    <row r="203" spans="1:2" x14ac:dyDescent="0.2">
      <c r="A203" s="21">
        <v>7056605</v>
      </c>
      <c r="B203" s="18" t="str">
        <f ca="1">IFERROR(__xludf.DUMMYFUNCTION("GOOGLETRANSLATE(C5305,""en"",""hr"")"),"montirati")</f>
        <v>montirati</v>
      </c>
    </row>
    <row r="204" spans="1:2" x14ac:dyDescent="0.2">
      <c r="A204" s="21">
        <v>7056606</v>
      </c>
      <c r="B204" s="18" t="str">
        <f ca="1">IFERROR(__xludf.DUMMYFUNCTION("GOOGLETRANSLATE(C781,""en"",""hr"")"),"Prtljažnik kotača ploče za zaštitu od prašine")</f>
        <v>Prtljažnik kotača ploče za zaštitu od prašine</v>
      </c>
    </row>
    <row r="205" spans="1:2" x14ac:dyDescent="0.2">
      <c r="A205" s="21">
        <v>7056608</v>
      </c>
      <c r="B205" s="18" t="str">
        <f ca="1">IFERROR(__xludf.DUMMYFUNCTION("GOOGLETRANSLATE(C780,""en"",""hr"")"),"Perilica")</f>
        <v>Perilica</v>
      </c>
    </row>
    <row r="206" spans="1:2" x14ac:dyDescent="0.2">
      <c r="A206" s="21">
        <v>7056609</v>
      </c>
      <c r="B206" s="18" t="str">
        <f ca="1">IFERROR(__xludf.DUMMYFUNCTION("GOOGLETRANSLATE(C5307,""en"",""hr"")"),"gumb")</f>
        <v>gumb</v>
      </c>
    </row>
    <row r="207" spans="1:2" x14ac:dyDescent="0.2">
      <c r="A207" s="21">
        <v>7056610</v>
      </c>
      <c r="B207" s="18" t="str">
        <f ca="1">IFERROR(__xludf.DUMMYFUNCTION("GOOGLETRANSLATE(C620,""en"",""hr"")"),"Vijak")</f>
        <v>Vijak</v>
      </c>
    </row>
    <row r="208" spans="1:2" x14ac:dyDescent="0.2">
      <c r="A208" s="21">
        <v>7056625</v>
      </c>
      <c r="B208" s="18" t="str">
        <f ca="1">IFERROR(__xludf.DUMMYFUNCTION("GOOGLETRANSLATE(C5877,""en"",""hr"")"),"Pogonska pumpa")</f>
        <v>Pogonska pumpa</v>
      </c>
    </row>
    <row r="209" spans="1:2" x14ac:dyDescent="0.2">
      <c r="A209" s="21">
        <v>7056628</v>
      </c>
      <c r="B209" s="18" t="str">
        <f ca="1">IFERROR(__xludf.DUMMYFUNCTION("GOOGLETRANSLATE(C1356,""en"",""hr"")"),"Sklop senzora (NOX)")</f>
        <v>Sklop senzora (NOX)</v>
      </c>
    </row>
    <row r="210" spans="1:2" x14ac:dyDescent="0.2">
      <c r="A210" s="21">
        <v>7056691</v>
      </c>
      <c r="B210" s="18" t="str">
        <f ca="1">IFERROR(__xludf.DUMMYFUNCTION("GOOGLETRANSLATE(C682,""en"",""hr"")"),"Vijak")</f>
        <v>Vijak</v>
      </c>
    </row>
    <row r="211" spans="1:2" x14ac:dyDescent="0.2">
      <c r="A211" s="21">
        <v>7056708</v>
      </c>
      <c r="B211" s="18" t="str">
        <f ca="1">IFERROR(__xludf.DUMMYFUNCTION("GOOGLETRANSLATE(C5160,""en"",""hr"")"),"Oplata")</f>
        <v>Oplata</v>
      </c>
    </row>
    <row r="212" spans="1:2" x14ac:dyDescent="0.2">
      <c r="A212" s="21">
        <v>7056727</v>
      </c>
      <c r="B212" s="18" t="str">
        <f ca="1">IFERROR(__xludf.DUMMYFUNCTION("GOOGLETRANSLATE(C5167,""en"",""hr"")"),"laserska ploča")</f>
        <v>laserska ploča</v>
      </c>
    </row>
    <row r="213" spans="1:2" x14ac:dyDescent="0.2">
      <c r="A213" s="21">
        <v>7056732</v>
      </c>
      <c r="B213" s="18" t="str">
        <f ca="1">IFERROR(__xludf.DUMMYFUNCTION("GOOGLETRANSLATE(C5150,""en"",""hr"")"),"Podloga za filter")</f>
        <v>Podloga za filter</v>
      </c>
    </row>
    <row r="214" spans="1:2" x14ac:dyDescent="0.2">
      <c r="A214" s="21">
        <v>7056754</v>
      </c>
      <c r="B214" s="18" t="str">
        <f ca="1">IFERROR(__xludf.DUMMYFUNCTION("GOOGLETRANSLATE(C5195,""en"",""hr"")"),"Štitnik za sunce")</f>
        <v>Štitnik za sunce</v>
      </c>
    </row>
    <row r="215" spans="1:2" x14ac:dyDescent="0.2">
      <c r="A215" s="21">
        <v>7056757</v>
      </c>
      <c r="B215" s="18" t="str">
        <f ca="1">IFERROR(__xludf.DUMMYFUNCTION("GOOGLETRANSLATE(C5184,""en"",""hr"")"),"Zvučnik")</f>
        <v>Zvučnik</v>
      </c>
    </row>
    <row r="216" spans="1:2" x14ac:dyDescent="0.2">
      <c r="A216" s="21">
        <v>7056758</v>
      </c>
      <c r="B216" s="18" t="str">
        <f ca="1">IFERROR(__xludf.DUMMYFUNCTION("GOOGLETRANSLATE(C5185,""en"",""hr"")"),"Zaštita")</f>
        <v>Zaštita</v>
      </c>
    </row>
    <row r="217" spans="1:2" x14ac:dyDescent="0.2">
      <c r="A217" s="21">
        <v>7056766</v>
      </c>
      <c r="B217" s="18" t="str">
        <f ca="1">IFERROR(__xludf.DUMMYFUNCTION("GOOGLETRANSLATE(C5298,""en"",""hr"")"),"Zaštita")</f>
        <v>Zaštita</v>
      </c>
    </row>
    <row r="218" spans="1:2" x14ac:dyDescent="0.2">
      <c r="A218" s="21">
        <v>7056775</v>
      </c>
      <c r="B218" s="18" t="str">
        <f ca="1">IFERROR(__xludf.DUMMYFUNCTION("GOOGLETRANSLATE(C4571,""en"",""hr"")"),"Preklopni stupanj curenja ulja razdjelnog bloka")</f>
        <v>Preklopni stupanj curenja ulja razdjelnog bloka</v>
      </c>
    </row>
    <row r="219" spans="1:2" x14ac:dyDescent="0.2">
      <c r="A219" s="21">
        <v>7056783</v>
      </c>
      <c r="B219" s="18" t="str">
        <f ca="1">IFERROR(__xludf.DUMMYFUNCTION("GOOGLETRANSLATE(C5189,""en"",""hr"")"),"Lanac")</f>
        <v>Lanac</v>
      </c>
    </row>
    <row r="220" spans="1:2" x14ac:dyDescent="0.2">
      <c r="A220" s="21">
        <v>7056797</v>
      </c>
      <c r="B220" s="18" t="str">
        <f ca="1">IFERROR(__xludf.DUMMYFUNCTION("GOOGLETRANSLATE(C20,""en"",""hr"")"),"Pumpa za vodu")</f>
        <v>Pumpa za vodu</v>
      </c>
    </row>
    <row r="221" spans="1:2" x14ac:dyDescent="0.2">
      <c r="A221" s="21">
        <v>7056922</v>
      </c>
      <c r="B221" s="18" t="str">
        <f ca="1">IFERROR(__xludf.DUMMYFUNCTION("GOOGLETRANSLATE(C2016,""en"",""hr"")"),"Hidraulički blok kpl.")</f>
        <v>Hidraulički blok kpl.</v>
      </c>
    </row>
    <row r="222" spans="1:2" x14ac:dyDescent="0.2">
      <c r="A222" s="21">
        <v>7056973</v>
      </c>
      <c r="B222" s="18" t="str">
        <f ca="1">IFERROR(__xludf.DUMMYFUNCTION("GOOGLETRANSLATE(C1044,""en"",""hr"")"),"Držač")</f>
        <v>Držač</v>
      </c>
    </row>
    <row r="223" spans="1:2" x14ac:dyDescent="0.2">
      <c r="A223" s="21">
        <v>7056983</v>
      </c>
      <c r="B223" s="18" t="str">
        <f ca="1">IFERROR(__xludf.DUMMYFUNCTION("GOOGLETRANSLATE(C574,""en"",""hr"")"),"Kočioni cilindar")</f>
        <v>Kočioni cilindar</v>
      </c>
    </row>
    <row r="224" spans="1:2" x14ac:dyDescent="0.2">
      <c r="A224" s="21">
        <v>7056992</v>
      </c>
      <c r="B224" s="18" t="str">
        <f ca="1">IFERROR(__xludf.DUMMYFUNCTION("GOOGLETRANSLATE(C6149,""en"",""hr"")"),"Kontrolni blok")</f>
        <v>Kontrolni blok</v>
      </c>
    </row>
    <row r="225" spans="1:2" x14ac:dyDescent="0.2">
      <c r="A225" s="21">
        <v>7056993</v>
      </c>
      <c r="B225" s="18" t="str">
        <f ca="1">IFERROR(__xludf.DUMMYFUNCTION("GOOGLETRANSLATE(C2004,""en"",""hr"")"),"Kontrolni blok usisni otvor")</f>
        <v>Kontrolni blok usisni otvor</v>
      </c>
    </row>
    <row r="226" spans="1:2" x14ac:dyDescent="0.2">
      <c r="A226" s="21">
        <v>7057056</v>
      </c>
      <c r="B226" s="18" t="str">
        <f ca="1">IFERROR(__xludf.DUMMYFUNCTION("GOOGLETRANSLATE(C5405,""en"",""hr"")"),"Razmaknica")</f>
        <v>Razmaknica</v>
      </c>
    </row>
    <row r="227" spans="1:2" x14ac:dyDescent="0.2">
      <c r="A227" s="21">
        <v>7057087</v>
      </c>
      <c r="B227" s="18" t="str">
        <f ca="1">IFERROR(__xludf.DUMMYFUNCTION("GOOGLETRANSLATE(C1441,""en"",""hr"")"),"Podrška za baterije")</f>
        <v>Podrška za baterije</v>
      </c>
    </row>
    <row r="228" spans="1:2" x14ac:dyDescent="0.2">
      <c r="A228" s="21">
        <v>7057088</v>
      </c>
      <c r="B228" s="18" t="str">
        <f ca="1">IFERROR(__xludf.DUMMYFUNCTION("GOOGLETRANSLATE(C1440,""en"",""hr"")"),"Podrška za baterije")</f>
        <v>Podrška za baterije</v>
      </c>
    </row>
    <row r="229" spans="1:2" x14ac:dyDescent="0.2">
      <c r="A229" s="21">
        <v>7057115</v>
      </c>
      <c r="B229" s="18" t="str">
        <f ca="1">IFERROR(__xludf.DUMMYFUNCTION("GOOGLETRANSLATE(C5108,""en"",""hr"")"),"Nosač za ogledalo lijevo")</f>
        <v>Nosač za ogledalo lijevo</v>
      </c>
    </row>
    <row r="230" spans="1:2" x14ac:dyDescent="0.2">
      <c r="A230" s="21">
        <v>7057121</v>
      </c>
      <c r="B230" s="18" t="str">
        <f ca="1">IFERROR(__xludf.DUMMYFUNCTION("GOOGLETRANSLATE(C4758,""en"",""hr"")"),"Zagrada")</f>
        <v>Zagrada</v>
      </c>
    </row>
    <row r="231" spans="1:2" x14ac:dyDescent="0.2">
      <c r="A231" s="21">
        <v>7057122</v>
      </c>
      <c r="B231" s="18" t="str">
        <f ca="1">IFERROR(__xludf.DUMMYFUNCTION("GOOGLETRANSLATE(C5107,""en"",""hr"")"),"Nosač za ogledalo desno")</f>
        <v>Nosač za ogledalo desno</v>
      </c>
    </row>
    <row r="232" spans="1:2" x14ac:dyDescent="0.2">
      <c r="A232" s="21">
        <v>7057152</v>
      </c>
      <c r="B232" s="18" t="str">
        <f ca="1">IFERROR(__xludf.DUMMYFUNCTION("GOOGLETRANSLATE(C4576,""en"",""hr"")"),"Kontrolni blok")</f>
        <v>Kontrolni blok</v>
      </c>
    </row>
    <row r="233" spans="1:2" x14ac:dyDescent="0.2">
      <c r="A233" s="21">
        <v>7057154</v>
      </c>
      <c r="B233" s="18" t="str">
        <f ca="1">IFERROR(__xludf.DUMMYFUNCTION("GOOGLETRANSLATE(C6144,""en"",""hr"")"),"Kontrolni blok")</f>
        <v>Kontrolni blok</v>
      </c>
    </row>
    <row r="234" spans="1:2" x14ac:dyDescent="0.2">
      <c r="A234" s="21">
        <v>7057157</v>
      </c>
      <c r="B234" s="18" t="str">
        <f ca="1">IFERROR(__xludf.DUMMYFUNCTION("GOOGLETRANSLATE(C15,""en"",""hr"")"),"Filtar zraka kabine")</f>
        <v>Filtar zraka kabine</v>
      </c>
    </row>
    <row r="235" spans="1:2" x14ac:dyDescent="0.2">
      <c r="A235" s="21">
        <v>7057158</v>
      </c>
      <c r="B235" s="18" t="str">
        <f ca="1">IFERROR(__xludf.DUMMYFUNCTION("GOOGLETRANSLATE(C681,""en"",""hr"")"),"Sigurnosna šipka")</f>
        <v>Sigurnosna šipka</v>
      </c>
    </row>
    <row r="236" spans="1:2" x14ac:dyDescent="0.2">
      <c r="A236" s="21">
        <v>7057165</v>
      </c>
      <c r="B236" s="18" t="str">
        <f ca="1">IFERROR(__xludf.DUMMYFUNCTION("GOOGLETRANSLATE(C2054,""en"",""hr"")"),"Hidraulički blok kpl.")</f>
        <v>Hidraulički blok kpl.</v>
      </c>
    </row>
    <row r="237" spans="1:2" x14ac:dyDescent="0.2">
      <c r="A237" s="21">
        <v>7057172</v>
      </c>
      <c r="B237" s="18" t="str">
        <f ca="1">IFERROR(__xludf.DUMMYFUNCTION("GOOGLETRANSLATE(C5514,""en"",""hr"")"),"Zaštita")</f>
        <v>Zaštita</v>
      </c>
    </row>
    <row r="238" spans="1:2" x14ac:dyDescent="0.2">
      <c r="A238" s="21">
        <v>7057207</v>
      </c>
      <c r="B238" s="18" t="str">
        <f ca="1">IFERROR(__xludf.DUMMYFUNCTION("GOOGLETRANSLATE(C978,""en"",""hr"")"),"Oblikovano crijevo")</f>
        <v>Oblikovano crijevo</v>
      </c>
    </row>
    <row r="239" spans="1:2" x14ac:dyDescent="0.2">
      <c r="A239" s="21">
        <v>7057208</v>
      </c>
      <c r="B239" s="18" t="str">
        <f ca="1">IFERROR(__xludf.DUMMYFUNCTION("GOOGLETRANSLATE(C43,""en"",""hr"")"),"Ogledalo grijano")</f>
        <v>Ogledalo grijano</v>
      </c>
    </row>
    <row r="240" spans="1:2" x14ac:dyDescent="0.2">
      <c r="A240" s="21">
        <v>7057280</v>
      </c>
      <c r="B240" s="18" t="str">
        <f ca="1">IFERROR(__xludf.DUMMYFUNCTION("GOOGLETRANSLATE(C5509,""en"",""hr"")"),"Izmjenjivač topline kpl.")</f>
        <v>Izmjenjivač topline kpl.</v>
      </c>
    </row>
    <row r="241" spans="1:2" x14ac:dyDescent="0.2">
      <c r="A241" s="21">
        <v>7057299</v>
      </c>
      <c r="B241" s="18" t="str">
        <f ca="1">IFERROR(__xludf.DUMMYFUNCTION("GOOGLETRANSLATE(C5339,""en"",""hr"")"),"Kontrola topline/izmjenične struje; Pos/Temp,AC+Recikliraj")</f>
        <v>Kontrola topline/izmjenične struje; Pos/Temp,AC+Recikliraj</v>
      </c>
    </row>
    <row r="242" spans="1:2" x14ac:dyDescent="0.2">
      <c r="A242" s="21">
        <v>7057302</v>
      </c>
      <c r="B242" s="18" t="str">
        <f ca="1">IFERROR(__xludf.DUMMYFUNCTION("GOOGLETRANSLATE(C5338,""en"",""hr"")"),"EV kontrola grijanja/izmjene; Pos/Temp,AC+Recikliraj")</f>
        <v>EV kontrola grijanja/izmjene; Pos/Temp,AC+Recikliraj</v>
      </c>
    </row>
    <row r="243" spans="1:2" x14ac:dyDescent="0.2">
      <c r="A243" s="21">
        <v>7057303</v>
      </c>
      <c r="B243" s="18" t="str">
        <f ca="1">IFERROR(__xludf.DUMMYFUNCTION("GOOGLETRANSLATE(C5488,""en"",""hr"")"),"Rešetka")</f>
        <v>Rešetka</v>
      </c>
    </row>
    <row r="244" spans="1:2" x14ac:dyDescent="0.2">
      <c r="A244" s="21">
        <v>7057308</v>
      </c>
      <c r="B244" s="18" t="str">
        <f ca="1">IFERROR(__xludf.DUMMYFUNCTION("GOOGLETRANSLATE(C42,""en"",""hr"")"),"Ogledalo")</f>
        <v>Ogledalo</v>
      </c>
    </row>
    <row r="245" spans="1:2" x14ac:dyDescent="0.2">
      <c r="A245" s="21">
        <v>7057310</v>
      </c>
      <c r="B245" s="18" t="str">
        <f ca="1">IFERROR(__xludf.DUMMYFUNCTION("GOOGLETRANSLATE(C108,""en"",""hr"")"),"Element filtera")</f>
        <v>Element filtera</v>
      </c>
    </row>
    <row r="246" spans="1:2" x14ac:dyDescent="0.2">
      <c r="A246" s="21">
        <v>7057340</v>
      </c>
      <c r="B246" s="18" t="str">
        <f ca="1">IFERROR(__xludf.DUMMYFUNCTION("GOOGLETRANSLATE(C5570,""en"",""hr"")"),"Crijevo")</f>
        <v>Crijevo</v>
      </c>
    </row>
    <row r="247" spans="1:2" x14ac:dyDescent="0.2">
      <c r="A247" s="21">
        <v>7057341</v>
      </c>
      <c r="B247" s="18" t="str">
        <f ca="1">IFERROR(__xludf.DUMMYFUNCTION("GOOGLETRANSLATE(C5568,""en"",""hr"")"),"Crijevo")</f>
        <v>Crijevo</v>
      </c>
    </row>
    <row r="248" spans="1:2" x14ac:dyDescent="0.2">
      <c r="A248" s="21">
        <v>7057342</v>
      </c>
      <c r="B248" s="18" t="str">
        <f ca="1">IFERROR(__xludf.DUMMYFUNCTION("GOOGLETRANSLATE(C5613,""en"",""hr"")"),"Crijevo za rashladno sredstvo")</f>
        <v>Crijevo za rashladno sredstvo</v>
      </c>
    </row>
    <row r="249" spans="1:2" x14ac:dyDescent="0.2">
      <c r="A249" s="21">
        <v>7057343</v>
      </c>
      <c r="B249" s="18" t="str">
        <f ca="1">IFERROR(__xludf.DUMMYFUNCTION("GOOGLETRANSLATE(C5615,""en"",""hr"")"),"Crijevo za rashladno sredstvo")</f>
        <v>Crijevo za rashladno sredstvo</v>
      </c>
    </row>
    <row r="250" spans="1:2" x14ac:dyDescent="0.2">
      <c r="A250" s="21">
        <v>7057344</v>
      </c>
      <c r="B250" s="18" t="str">
        <f ca="1">IFERROR(__xludf.DUMMYFUNCTION("GOOGLETRANSLATE(C5612,""en"",""hr"")"),"Crijevo za rashladno sredstvo")</f>
        <v>Crijevo za rashladno sredstvo</v>
      </c>
    </row>
    <row r="251" spans="1:2" x14ac:dyDescent="0.2">
      <c r="A251" s="21">
        <v>7057345</v>
      </c>
      <c r="B251" s="18" t="str">
        <f ca="1">IFERROR(__xludf.DUMMYFUNCTION("GOOGLETRANSLATE(C5614,""en"",""hr"")"),"Crijevo za rashladno sredstvo")</f>
        <v>Crijevo za rashladno sredstvo</v>
      </c>
    </row>
    <row r="252" spans="1:2" x14ac:dyDescent="0.2">
      <c r="A252" s="21">
        <v>7057346</v>
      </c>
      <c r="B252" s="18" t="str">
        <f ca="1">IFERROR(__xludf.DUMMYFUNCTION("GOOGLETRANSLATE(C5586,""en"",""hr"")"),"Crijevo")</f>
        <v>Crijevo</v>
      </c>
    </row>
    <row r="253" spans="1:2" x14ac:dyDescent="0.2">
      <c r="A253" s="21">
        <v>7057347</v>
      </c>
      <c r="B253" s="18" t="str">
        <f ca="1">IFERROR(__xludf.DUMMYFUNCTION("GOOGLETRANSLATE(C5587,""en"",""hr"")"),"Crijevo")</f>
        <v>Crijevo</v>
      </c>
    </row>
    <row r="254" spans="1:2" x14ac:dyDescent="0.2">
      <c r="A254" s="21">
        <v>7057348</v>
      </c>
      <c r="B254" s="18" t="str">
        <f ca="1">IFERROR(__xludf.DUMMYFUNCTION("GOOGLETRANSLATE(C5589,""en"",""hr"")"),"Crijevo")</f>
        <v>Crijevo</v>
      </c>
    </row>
    <row r="255" spans="1:2" x14ac:dyDescent="0.2">
      <c r="A255" s="21">
        <v>7057349</v>
      </c>
      <c r="B255" s="18" t="str">
        <f ca="1">IFERROR(__xludf.DUMMYFUNCTION("GOOGLETRANSLATE(C5588,""en"",""hr"")"),"Crijevo")</f>
        <v>Crijevo</v>
      </c>
    </row>
    <row r="256" spans="1:2" x14ac:dyDescent="0.2">
      <c r="A256" s="21">
        <v>7057358</v>
      </c>
      <c r="B256" s="18" t="str">
        <f ca="1">IFERROR(__xludf.DUMMYFUNCTION("GOOGLETRANSLATE(C2344,""en"",""hr"")"),"Kontrolni blok")</f>
        <v>Kontrolni blok</v>
      </c>
    </row>
    <row r="257" spans="1:2" x14ac:dyDescent="0.2">
      <c r="A257" s="21">
        <v>7057363</v>
      </c>
      <c r="B257" s="18" t="str">
        <f ca="1">IFERROR(__xludf.DUMMYFUNCTION("GOOGLETRANSLATE(C418,""en"",""hr"")"),"Hidraulično crijevo")</f>
        <v>Hidraulično crijevo</v>
      </c>
    </row>
    <row r="258" spans="1:2" x14ac:dyDescent="0.2">
      <c r="A258" s="21">
        <v>7057365</v>
      </c>
      <c r="B258" s="18" t="str">
        <f ca="1">IFERROR(__xludf.DUMMYFUNCTION("GOOGLETRANSLATE(C419,""en"",""hr"")"),"Hidraulično crijevo")</f>
        <v>Hidraulično crijevo</v>
      </c>
    </row>
    <row r="259" spans="1:2" x14ac:dyDescent="0.2">
      <c r="A259" s="21">
        <v>7057367</v>
      </c>
      <c r="B259" s="18" t="str">
        <f ca="1">IFERROR(__xludf.DUMMYFUNCTION("GOOGLETRANSLATE(C420,""en"",""hr"")"),"Hidraulično crijevo")</f>
        <v>Hidraulično crijevo</v>
      </c>
    </row>
    <row r="260" spans="1:2" x14ac:dyDescent="0.2">
      <c r="A260" s="21">
        <v>7057369</v>
      </c>
      <c r="B260" s="18" t="str">
        <f ca="1">IFERROR(__xludf.DUMMYFUNCTION("GOOGLETRANSLATE(C421,""en"",""hr"")"),"Hidraulično crijevo")</f>
        <v>Hidraulično crijevo</v>
      </c>
    </row>
    <row r="261" spans="1:2" x14ac:dyDescent="0.2">
      <c r="A261" s="21">
        <v>7057391</v>
      </c>
      <c r="B261" s="18" t="str">
        <f ca="1">IFERROR(__xludf.DUMMYFUNCTION("GOOGLETRANSLATE(C5541,""en"",""hr"")"),"Držač")</f>
        <v>Držač</v>
      </c>
    </row>
    <row r="262" spans="1:2" x14ac:dyDescent="0.2">
      <c r="A262" s="21">
        <v>7057436</v>
      </c>
      <c r="B262" s="18" t="str">
        <f ca="1">IFERROR(__xludf.DUMMYFUNCTION("GOOGLETRANSLATE(C6492,""en"",""hr"")"),"Kontrolna jedinica")</f>
        <v>Kontrolna jedinica</v>
      </c>
    </row>
    <row r="263" spans="1:2" x14ac:dyDescent="0.2">
      <c r="A263" s="21">
        <v>7057446</v>
      </c>
      <c r="B263" s="18" t="str">
        <f ca="1">IFERROR(__xludf.DUMMYFUNCTION("GOOGLETRANSLATE(C5654,""en"",""hr"")"),"Vodena cijev")</f>
        <v>Vodena cijev</v>
      </c>
    </row>
    <row r="264" spans="1:2" x14ac:dyDescent="0.2">
      <c r="A264" s="21">
        <v>7057450</v>
      </c>
      <c r="B264" s="18" t="str">
        <f ca="1">IFERROR(__xludf.DUMMYFUNCTION("GOOGLETRANSLATE(C5644,""en"",""hr"")"),"Vodena cijev")</f>
        <v>Vodena cijev</v>
      </c>
    </row>
    <row r="265" spans="1:2" x14ac:dyDescent="0.2">
      <c r="A265" s="21">
        <v>7057469</v>
      </c>
      <c r="B265" s="18" t="str">
        <f ca="1">IFERROR(__xludf.DUMMYFUNCTION("GOOGLETRANSLATE(C1950,""en"",""hr"")"),"Nosač motora Cpl.")</f>
        <v>Nosač motora Cpl.</v>
      </c>
    </row>
    <row r="266" spans="1:2" x14ac:dyDescent="0.2">
      <c r="A266" s="21">
        <v>7057499</v>
      </c>
      <c r="B266" s="18" t="str">
        <f ca="1">IFERROR(__xludf.DUMMYFUNCTION("GOOGLETRANSLATE(C2145,""en"",""hr"")"),"Crijevo")</f>
        <v>Crijevo</v>
      </c>
    </row>
    <row r="267" spans="1:2" x14ac:dyDescent="0.2">
      <c r="A267" s="21">
        <v>7057502</v>
      </c>
      <c r="B267" s="18" t="str">
        <f ca="1">IFERROR(__xludf.DUMMYFUNCTION("GOOGLETRANSLATE(C3625,""en"",""hr"")"),"Ventil za rekuperaciju crijeva")</f>
        <v>Ventil za rekuperaciju crijeva</v>
      </c>
    </row>
    <row r="268" spans="1:2" x14ac:dyDescent="0.2">
      <c r="A268" s="21">
        <v>7057504</v>
      </c>
      <c r="B268" s="18" t="str">
        <f ca="1">IFERROR(__xludf.DUMMYFUNCTION("GOOGLETRANSLATE(C2143,""en"",""hr"")"),"Crijevo")</f>
        <v>Crijevo</v>
      </c>
    </row>
    <row r="269" spans="1:2" x14ac:dyDescent="0.2">
      <c r="A269" s="21">
        <v>7057526</v>
      </c>
      <c r="B269" s="18" t="str">
        <f ca="1">IFERROR(__xludf.DUMMYFUNCTION("GOOGLETRANSLATE(C3626,""en"",""hr"")"),"Povratni ventil za rekuperaciju crijeva")</f>
        <v>Povratni ventil za rekuperaciju crijeva</v>
      </c>
    </row>
    <row r="270" spans="1:2" x14ac:dyDescent="0.2">
      <c r="A270" s="21">
        <v>7057527</v>
      </c>
      <c r="B270" s="18" t="str">
        <f ca="1">IFERROR(__xludf.DUMMYFUNCTION("GOOGLETRANSLATE(C1504,""en"",""hr"")"),"Zaštita")</f>
        <v>Zaštita</v>
      </c>
    </row>
    <row r="271" spans="1:2" x14ac:dyDescent="0.2">
      <c r="A271" s="21">
        <v>7057539</v>
      </c>
      <c r="B271" s="18" t="str">
        <f ca="1">IFERROR(__xludf.DUMMYFUNCTION("GOOGLETRANSLATE(C4989,""en"",""hr"")"),"Gumeni prigušivač")</f>
        <v>Gumeni prigušivač</v>
      </c>
    </row>
    <row r="272" spans="1:2" x14ac:dyDescent="0.2">
      <c r="A272" s="21">
        <v>7057565</v>
      </c>
      <c r="B272" s="18" t="str">
        <f ca="1">IFERROR(__xludf.DUMMYFUNCTION("GOOGLETRANSLATE(C5554,""en"",""hr"")"),"Držač")</f>
        <v>Držač</v>
      </c>
    </row>
    <row r="273" spans="1:2" x14ac:dyDescent="0.2">
      <c r="A273" s="21">
        <v>7057578</v>
      </c>
      <c r="B273" s="18" t="str">
        <f ca="1">IFERROR(__xludf.DUMMYFUNCTION("GOOGLETRANSLATE(C4376,""en"",""hr"")"),"Pristupni poklopac")</f>
        <v>Pristupni poklopac</v>
      </c>
    </row>
    <row r="274" spans="1:2" x14ac:dyDescent="0.2">
      <c r="A274" s="21">
        <v>7057600</v>
      </c>
      <c r="B274" s="18" t="str">
        <f ca="1">IFERROR(__xludf.DUMMYFUNCTION("GOOGLETRANSLATE(C5203,""en"",""hr"")"),"Motor brisača vjetrobrana")</f>
        <v>Motor brisača vjetrobrana</v>
      </c>
    </row>
    <row r="275" spans="1:2" x14ac:dyDescent="0.2">
      <c r="A275" s="21">
        <v>7057605</v>
      </c>
      <c r="B275" s="18" t="str">
        <f ca="1">IFERROR(__xludf.DUMMYFUNCTION("GOOGLETRANSLATE(C5205,""en"",""hr"")"),"Ruka brisača")</f>
        <v>Ruka brisača</v>
      </c>
    </row>
    <row r="276" spans="1:2" x14ac:dyDescent="0.2">
      <c r="A276" s="21">
        <v>7057606</v>
      </c>
      <c r="B276" s="18" t="str">
        <f ca="1">IFERROR(__xludf.DUMMYFUNCTION("GOOGLETRANSLATE(C14,""en"",""hr"")"),"Metlica brisača")</f>
        <v>Metlica brisača</v>
      </c>
    </row>
    <row r="277" spans="1:2" x14ac:dyDescent="0.2">
      <c r="A277" s="21">
        <v>7057613</v>
      </c>
      <c r="B277" s="18" t="str">
        <f ca="1">IFERROR(__xludf.DUMMYFUNCTION("GOOGLETRANSLATE(C5394,""en"",""hr"")"),"Distribucijski blok upravljača")</f>
        <v>Distribucijski blok upravljača</v>
      </c>
    </row>
    <row r="278" spans="1:2" x14ac:dyDescent="0.2">
      <c r="A278" s="21">
        <v>7057642</v>
      </c>
      <c r="B278" s="18" t="str">
        <f ca="1">IFERROR(__xludf.DUMMYFUNCTION("GOOGLETRANSLATE(C3158,""en"",""hr"")"),"Distantni grm")</f>
        <v>Distantni grm</v>
      </c>
    </row>
    <row r="279" spans="1:2" x14ac:dyDescent="0.2">
      <c r="A279" s="21">
        <v>7057651</v>
      </c>
      <c r="B279" s="18" t="str">
        <f ca="1">IFERROR(__xludf.DUMMYFUNCTION("GOOGLETRANSLATE(C302,""en"",""hr"")"),"Držač hidraulični desni")</f>
        <v>Držač hidraulični desni</v>
      </c>
    </row>
    <row r="280" spans="1:2" x14ac:dyDescent="0.2">
      <c r="A280" s="21">
        <v>7057654</v>
      </c>
      <c r="B280" s="18" t="str">
        <f ca="1">IFERROR(__xludf.DUMMYFUNCTION("GOOGLETRANSLATE(C344,""en"",""hr"")"),"Držač")</f>
        <v>Držač</v>
      </c>
    </row>
    <row r="281" spans="1:2" x14ac:dyDescent="0.2">
      <c r="A281" s="21">
        <v>7057679</v>
      </c>
      <c r="B281" s="18" t="str">
        <f ca="1">IFERROR(__xludf.DUMMYFUNCTION("GOOGLETRANSLATE(C4364,""en"",""hr"")"),"Perilica")</f>
        <v>Perilica</v>
      </c>
    </row>
    <row r="282" spans="1:2" x14ac:dyDescent="0.2">
      <c r="A282" s="21">
        <v>7057694</v>
      </c>
      <c r="B282" s="18" t="str">
        <f ca="1">IFERROR(__xludf.DUMMYFUNCTION("GOOGLETRANSLATE(C541,""en"",""hr"")"),"Crijevo")</f>
        <v>Crijevo</v>
      </c>
    </row>
    <row r="283" spans="1:2" x14ac:dyDescent="0.2">
      <c r="A283" s="21">
        <v>7057704</v>
      </c>
      <c r="B283" s="18" t="str">
        <f ca="1">IFERROR(__xludf.DUMMYFUNCTION("GOOGLETRANSLATE(C509,""en"",""hr"")"),"Cijev")</f>
        <v>Cijev</v>
      </c>
    </row>
    <row r="284" spans="1:2" x14ac:dyDescent="0.2">
      <c r="A284" s="21">
        <v>7057710</v>
      </c>
      <c r="B284" s="18" t="str">
        <f ca="1">IFERROR(__xludf.DUMMYFUNCTION("GOOGLETRANSLATE(C511,""en"",""hr"")"),"Cijev")</f>
        <v>Cijev</v>
      </c>
    </row>
    <row r="285" spans="1:2" x14ac:dyDescent="0.2">
      <c r="A285" s="21">
        <v>7057735</v>
      </c>
      <c r="B285" s="18" t="str">
        <f ca="1">IFERROR(__xludf.DUMMYFUNCTION("GOOGLETRANSLATE(C5518,""en"",""hr"")"),"Brtvena ploča")</f>
        <v>Brtvena ploča</v>
      </c>
    </row>
    <row r="286" spans="1:2" x14ac:dyDescent="0.2">
      <c r="A286" s="21">
        <v>7057738</v>
      </c>
      <c r="B286" s="18" t="str">
        <f ca="1">IFERROR(__xludf.DUMMYFUNCTION("GOOGLETRANSLATE(C2040,""en"",""hr"")"),"Hidraulički cilindar")</f>
        <v>Hidraulički cilindar</v>
      </c>
    </row>
    <row r="287" spans="1:2" x14ac:dyDescent="0.2">
      <c r="A287" s="21">
        <v>7057753</v>
      </c>
      <c r="B287" s="18" t="str">
        <f ca="1">IFERROR(__xludf.DUMMYFUNCTION("GOOGLETRANSLATE(C1939,""en"",""hr"")"),"Ruka ploče cilindra")</f>
        <v>Ruka ploče cilindra</v>
      </c>
    </row>
    <row r="288" spans="1:2" x14ac:dyDescent="0.2">
      <c r="A288" s="21">
        <v>7057762</v>
      </c>
      <c r="B288" s="18" t="str">
        <f ca="1">IFERROR(__xludf.DUMMYFUNCTION("GOOGLETRANSLATE(C1947,""en"",""hr"")"),"Cilindar")</f>
        <v>Cilindar</v>
      </c>
    </row>
    <row r="289" spans="1:2" x14ac:dyDescent="0.2">
      <c r="A289" s="21">
        <v>7057786</v>
      </c>
      <c r="B289" s="18" t="str">
        <f ca="1">IFERROR(__xludf.DUMMYFUNCTION("GOOGLETRANSLATE(C326,""en"",""hr"")"),"Front podrške")</f>
        <v>Front podrške</v>
      </c>
    </row>
    <row r="290" spans="1:2" x14ac:dyDescent="0.2">
      <c r="A290" s="21">
        <v>7057855</v>
      </c>
      <c r="B290" s="18" t="str">
        <f ca="1">IFERROR(__xludf.DUMMYFUNCTION("GOOGLETRANSLATE(C6362,""en"",""hr"")"),"Čvor")</f>
        <v>Čvor</v>
      </c>
    </row>
    <row r="291" spans="1:2" x14ac:dyDescent="0.2">
      <c r="A291" s="21">
        <v>7057910</v>
      </c>
      <c r="B291" s="18" t="str">
        <f ca="1">IFERROR(__xludf.DUMMYFUNCTION("GOOGLETRANSLATE(C6175,""en"",""hr"")"),"Kontrolni blok")</f>
        <v>Kontrolni blok</v>
      </c>
    </row>
    <row r="292" spans="1:2" x14ac:dyDescent="0.2">
      <c r="A292" s="21">
        <v>7057955</v>
      </c>
      <c r="B292" s="18" t="str">
        <f ca="1">IFERROR(__xludf.DUMMYFUNCTION("GOOGLETRANSLATE(C451,""en"",""hr"")"),"Ploča s navojem")</f>
        <v>Ploča s navojem</v>
      </c>
    </row>
    <row r="293" spans="1:2" x14ac:dyDescent="0.2">
      <c r="A293" s="21">
        <v>7057969</v>
      </c>
      <c r="B293" s="18" t="str">
        <f ca="1">IFERROR(__xludf.DUMMYFUNCTION("GOOGLETRANSLATE(C5781,""en"",""hr"")"),"Motor s kandžastom spojkom")</f>
        <v>Motor s kandžastom spojkom</v>
      </c>
    </row>
    <row r="294" spans="1:2" x14ac:dyDescent="0.2">
      <c r="A294" s="21">
        <v>7057973</v>
      </c>
      <c r="B294" s="18" t="str">
        <f ca="1">IFERROR(__xludf.DUMMYFUNCTION("GOOGLETRANSLATE(C1587,""en"",""hr"")"),"Isječak")</f>
        <v>Isječak</v>
      </c>
    </row>
    <row r="295" spans="1:2" x14ac:dyDescent="0.2">
      <c r="A295" s="21">
        <v>7058042</v>
      </c>
      <c r="B295" s="18" t="str">
        <f ca="1">IFERROR(__xludf.DUMMYFUNCTION("GOOGLETRANSLATE(C5399,""en"",""hr"")"),"upravljački orbitrol")</f>
        <v>upravljački orbitrol</v>
      </c>
    </row>
    <row r="296" spans="1:2" x14ac:dyDescent="0.2">
      <c r="A296" s="21">
        <v>7058126</v>
      </c>
      <c r="B296" s="18" t="str">
        <f ca="1">IFERROR(__xludf.DUMMYFUNCTION("GOOGLETRANSLATE(C63,""en"",""hr"")"),"Udarni disk")</f>
        <v>Udarni disk</v>
      </c>
    </row>
    <row r="297" spans="1:2" x14ac:dyDescent="0.2">
      <c r="A297" s="21">
        <v>7058235</v>
      </c>
      <c r="B297" s="18" t="str">
        <f ca="1">IFERROR(__xludf.DUMMYFUNCTION("GOOGLETRANSLATE(C2014,""en"",""hr"")"),"Uvrtni komad")</f>
        <v>Uvrtni komad</v>
      </c>
    </row>
    <row r="298" spans="1:2" x14ac:dyDescent="0.2">
      <c r="A298" s="21">
        <v>7058238</v>
      </c>
      <c r="B298" s="18" t="str">
        <f ca="1">IFERROR(__xludf.DUMMYFUNCTION("GOOGLETRANSLATE(C694,""en"",""hr"")"),"Uvrtni komad")</f>
        <v>Uvrtni komad</v>
      </c>
    </row>
    <row r="299" spans="1:2" x14ac:dyDescent="0.2">
      <c r="A299" s="21">
        <v>7058314</v>
      </c>
      <c r="B299" s="18" t="str">
        <f ca="1">IFERROR(__xludf.DUMMYFUNCTION("GOOGLETRANSLATE(C1913,""en"",""hr"")"),"Elastomerna opruga")</f>
        <v>Elastomerna opruga</v>
      </c>
    </row>
    <row r="300" spans="1:2" x14ac:dyDescent="0.2">
      <c r="A300" s="21">
        <v>7058344</v>
      </c>
      <c r="B300" s="18" t="str">
        <f ca="1">IFERROR(__xludf.DUMMYFUNCTION("GOOGLETRANSLATE(C6657,""en"",""hr"")"),"Vodilica")</f>
        <v>Vodilica</v>
      </c>
    </row>
    <row r="301" spans="1:2" x14ac:dyDescent="0.2">
      <c r="A301" s="21">
        <v>7058361</v>
      </c>
      <c r="B301" s="18" t="str">
        <f ca="1">IFERROR(__xludf.DUMMYFUNCTION("GOOGLETRANSLATE(C6653,""en"",""hr"")"),"Držač")</f>
        <v>Držač</v>
      </c>
    </row>
    <row r="302" spans="1:2" x14ac:dyDescent="0.2">
      <c r="A302" s="21">
        <v>7058362</v>
      </c>
      <c r="B302" s="18" t="str">
        <f ca="1">IFERROR(__xludf.DUMMYFUNCTION("GOOGLETRANSLATE(C5,""en"",""hr"")"),"Gumena podloška")</f>
        <v>Gumena podloška</v>
      </c>
    </row>
    <row r="303" spans="1:2" x14ac:dyDescent="0.2">
      <c r="A303" s="21">
        <v>7058603</v>
      </c>
      <c r="B303" s="18" t="str">
        <f ca="1">IFERROR(__xludf.DUMMYFUNCTION("GOOGLETRANSLATE(C1176,""en"",""hr"")"),"Držač")</f>
        <v>Držač</v>
      </c>
    </row>
    <row r="304" spans="1:2" x14ac:dyDescent="0.2">
      <c r="A304" s="21">
        <v>7058605</v>
      </c>
      <c r="B304" s="18" t="str">
        <f ca="1">IFERROR(__xludf.DUMMYFUNCTION("GOOGLETRANSLATE(C1173,""en"",""hr"")"),"Držač")</f>
        <v>Držač</v>
      </c>
    </row>
    <row r="305" spans="1:2" x14ac:dyDescent="0.2">
      <c r="A305" s="21">
        <v>7058610</v>
      </c>
      <c r="B305" s="18" t="str">
        <f ca="1">IFERROR(__xludf.DUMMYFUNCTION("GOOGLETRANSLATE(C1128,""en"",""hr"")"),"Držač")</f>
        <v>Držač</v>
      </c>
    </row>
    <row r="306" spans="1:2" x14ac:dyDescent="0.2">
      <c r="A306" s="21">
        <v>7058620</v>
      </c>
      <c r="B306" s="18" t="str">
        <f ca="1">IFERROR(__xludf.DUMMYFUNCTION("GOOGLETRANSLATE(C4179,""en"",""hr"")"),"Razmaknica")</f>
        <v>Razmaknica</v>
      </c>
    </row>
    <row r="307" spans="1:2" x14ac:dyDescent="0.2">
      <c r="A307" s="21">
        <v>7058633</v>
      </c>
      <c r="B307" s="18" t="str">
        <f ca="1">IFERROR(__xludf.DUMMYFUNCTION("GOOGLETRANSLATE(C3135,""en"",""hr"")"),"Stezni element")</f>
        <v>Stezni element</v>
      </c>
    </row>
    <row r="308" spans="1:2" x14ac:dyDescent="0.2">
      <c r="A308" s="21">
        <v>7058638</v>
      </c>
      <c r="B308" s="18" t="str">
        <f ca="1">IFERROR(__xludf.DUMMYFUNCTION("GOOGLETRANSLATE(C4438,""en"",""hr"")"),"Konus za centriranje")</f>
        <v>Konus za centriranje</v>
      </c>
    </row>
    <row r="309" spans="1:2" x14ac:dyDescent="0.2">
      <c r="A309" s="21">
        <v>7058639</v>
      </c>
      <c r="B309" s="18" t="str">
        <f ca="1">IFERROR(__xludf.DUMMYFUNCTION("GOOGLETRANSLATE(C2025,""en"",""hr"")"),"Čahura")</f>
        <v>Čahura</v>
      </c>
    </row>
    <row r="310" spans="1:2" x14ac:dyDescent="0.2">
      <c r="A310" s="21">
        <v>7058655</v>
      </c>
      <c r="B310" s="18" t="str">
        <f ca="1">IFERROR(__xludf.DUMMYFUNCTION("GOOGLETRANSLATE(C3142,""en"",""hr"")"),"Rotacijski dio")</f>
        <v>Rotacijski dio</v>
      </c>
    </row>
    <row r="311" spans="1:2" x14ac:dyDescent="0.2">
      <c r="A311" s="21">
        <v>7058656</v>
      </c>
      <c r="B311" s="18" t="str">
        <f ca="1">IFERROR(__xludf.DUMMYFUNCTION("GOOGLETRANSLATE(C30,""en"",""hr"")"),"Spremnik za vodu na vjetrobranskom staklu kpl.")</f>
        <v>Spremnik za vodu na vjetrobranskom staklu kpl.</v>
      </c>
    </row>
    <row r="312" spans="1:2" x14ac:dyDescent="0.2">
      <c r="A312" s="21">
        <v>7058659</v>
      </c>
      <c r="B312" s="18" t="str">
        <f ca="1">IFERROR(__xludf.DUMMYFUNCTION("GOOGLETRANSLATE(C6779,""en"",""hr"")"),"Ljepljiva ploča")</f>
        <v>Ljepljiva ploča</v>
      </c>
    </row>
    <row r="313" spans="1:2" x14ac:dyDescent="0.2">
      <c r="A313" s="21">
        <v>7058660</v>
      </c>
      <c r="B313" s="18" t="str">
        <f ca="1">IFERROR(__xludf.DUMMYFUNCTION("GOOGLETRANSLATE(C3122,""en"",""hr"")"),"Provodnik bušotine")</f>
        <v>Provodnik bušotine</v>
      </c>
    </row>
    <row r="314" spans="1:2" x14ac:dyDescent="0.2">
      <c r="A314" s="21">
        <v>7058662</v>
      </c>
      <c r="B314" s="18" t="str">
        <f ca="1">IFERROR(__xludf.DUMMYFUNCTION("GOOGLETRANSLATE(C3145,""en"",""hr"")"),"Gornji okretni dio")</f>
        <v>Gornji okretni dio</v>
      </c>
    </row>
    <row r="315" spans="1:2" x14ac:dyDescent="0.2">
      <c r="A315" s="21">
        <v>7058667</v>
      </c>
      <c r="B315" s="18" t="str">
        <f ca="1">IFERROR(__xludf.DUMMYFUNCTION("GOOGLETRANSLATE(C5659,""en"",""hr"")"),"Metalni lim")</f>
        <v>Metalni lim</v>
      </c>
    </row>
    <row r="316" spans="1:2" x14ac:dyDescent="0.2">
      <c r="A316" s="21">
        <v>7058704</v>
      </c>
      <c r="B316" s="18" t="str">
        <f ca="1">IFERROR(__xludf.DUMMYFUNCTION("GOOGLETRANSLATE(C4546,""en"",""hr"")"),"Cijev")</f>
        <v>Cijev</v>
      </c>
    </row>
    <row r="317" spans="1:2" x14ac:dyDescent="0.2">
      <c r="A317" s="21">
        <v>7058705</v>
      </c>
      <c r="B317" s="18" t="str">
        <f ca="1">IFERROR(__xludf.DUMMYFUNCTION("GOOGLETRANSLATE(C4547,""en"",""hr"")"),"Cijev")</f>
        <v>Cijev</v>
      </c>
    </row>
    <row r="318" spans="1:2" x14ac:dyDescent="0.2">
      <c r="A318" s="21">
        <v>7058706</v>
      </c>
      <c r="B318" s="18" t="str">
        <f ca="1">IFERROR(__xludf.DUMMYFUNCTION("GOOGLETRANSLATE(C4548,""en"",""hr"")"),"Cijev")</f>
        <v>Cijev</v>
      </c>
    </row>
    <row r="319" spans="1:2" x14ac:dyDescent="0.2">
      <c r="A319" s="21">
        <v>7058756</v>
      </c>
      <c r="B319" s="18" t="str">
        <f ca="1">IFERROR(__xludf.DUMMYFUNCTION("GOOGLETRANSLATE(C5923,""en"",""hr"")"),"Dvostruka stezaljka za cijevi")</f>
        <v>Dvostruka stezaljka za cijevi</v>
      </c>
    </row>
    <row r="320" spans="1:2" x14ac:dyDescent="0.2">
      <c r="A320" s="21">
        <v>7058803</v>
      </c>
      <c r="B320" s="18" t="str">
        <f ca="1">IFERROR(__xludf.DUMMYFUNCTION("GOOGLETRANSLATE(C9,""en"",""hr"")"),"Montažni set")</f>
        <v>Montažni set</v>
      </c>
    </row>
    <row r="321" spans="1:2" x14ac:dyDescent="0.2">
      <c r="A321" s="21">
        <v>7058811</v>
      </c>
      <c r="B321" s="18" t="str">
        <f ca="1">IFERROR(__xludf.DUMMYFUNCTION("GOOGLETRANSLATE(C634,""en"",""hr"")"),"Senzorski kotačić")</f>
        <v>Senzorski kotačić</v>
      </c>
    </row>
    <row r="322" spans="1:2" x14ac:dyDescent="0.2">
      <c r="A322" s="21">
        <v>7058827</v>
      </c>
      <c r="B322" s="18" t="str">
        <f ca="1">IFERROR(__xludf.DUMMYFUNCTION("GOOGLETRANSLATE(C914,""en"",""hr"")"),"Kormilarnica")</f>
        <v>Kormilarnica</v>
      </c>
    </row>
    <row r="323" spans="1:2" x14ac:dyDescent="0.2">
      <c r="A323" s="21">
        <v>7058834</v>
      </c>
      <c r="B323" s="18" t="str">
        <f ca="1">IFERROR(__xludf.DUMMYFUNCTION("GOOGLETRANSLATE(C5930,""en"",""hr"")"),"Držač")</f>
        <v>Držač</v>
      </c>
    </row>
    <row r="324" spans="1:2" x14ac:dyDescent="0.2">
      <c r="A324" s="21">
        <v>7058852</v>
      </c>
      <c r="B324" s="18" t="str">
        <f ca="1">IFERROR(__xludf.DUMMYFUNCTION("GOOGLETRANSLATE(C12,""en"",""hr"")"),"Radno svjetlo")</f>
        <v>Radno svjetlo</v>
      </c>
    </row>
    <row r="325" spans="1:2" x14ac:dyDescent="0.2">
      <c r="A325" s="21">
        <v>7058866</v>
      </c>
      <c r="B325" s="18" t="str">
        <f ca="1">IFERROR(__xludf.DUMMYFUNCTION("GOOGLETRANSLATE(C619,""en"",""hr"")"),"Glavčina kotača")</f>
        <v>Glavčina kotača</v>
      </c>
    </row>
    <row r="326" spans="1:2" x14ac:dyDescent="0.2">
      <c r="A326" s="21">
        <v>7058895</v>
      </c>
      <c r="B326" s="18" t="str">
        <f ca="1">IFERROR(__xludf.DUMMYFUNCTION("GOOGLETRANSLATE(C5208,""en"",""hr"")"),"Povratni ventil")</f>
        <v>Povratni ventil</v>
      </c>
    </row>
    <row r="327" spans="1:2" x14ac:dyDescent="0.2">
      <c r="A327" s="21">
        <v>7058896</v>
      </c>
      <c r="B327" s="18" t="str">
        <f ca="1">IFERROR(__xludf.DUMMYFUNCTION("GOOGLETRANSLATE(C5210,""en"",""hr"")"),"Dio vodiča")</f>
        <v>Dio vodiča</v>
      </c>
    </row>
    <row r="328" spans="1:2" x14ac:dyDescent="0.2">
      <c r="A328" s="21">
        <v>7058897</v>
      </c>
      <c r="B328" s="18" t="str">
        <f ca="1">IFERROR(__xludf.DUMMYFUNCTION("GOOGLETRANSLATE(C5209,""en"",""hr"")"),"Fairlead")</f>
        <v>Fairlead</v>
      </c>
    </row>
    <row r="329" spans="1:2" x14ac:dyDescent="0.2">
      <c r="A329" s="21">
        <v>7058918</v>
      </c>
      <c r="B329" s="18" t="str">
        <f ca="1">IFERROR(__xludf.DUMMYFUNCTION("GOOGLETRANSLATE(C3606,""en"",""hr"")"),"Poluga zavarena")</f>
        <v>Poluga zavarena</v>
      </c>
    </row>
    <row r="330" spans="1:2" x14ac:dyDescent="0.2">
      <c r="A330" s="21">
        <v>7058973</v>
      </c>
      <c r="B330" s="18" t="str">
        <f ca="1">IFERROR(__xludf.DUMMYFUNCTION("GOOGLETRANSLATE(C836,""en"",""hr"")"),"Spojka")</f>
        <v>Spojka</v>
      </c>
    </row>
    <row r="331" spans="1:2" x14ac:dyDescent="0.2">
      <c r="A331" s="21">
        <v>7058974</v>
      </c>
      <c r="B331" s="18" t="str">
        <f ca="1">IFERROR(__xludf.DUMMYFUNCTION("GOOGLETRANSLATE(C841,""en"",""hr"")"),"Spojka")</f>
        <v>Spojka</v>
      </c>
    </row>
    <row r="332" spans="1:2" x14ac:dyDescent="0.2">
      <c r="A332" s="21">
        <v>7058977</v>
      </c>
      <c r="B332" s="18" t="str">
        <f ca="1">IFERROR(__xludf.DUMMYFUNCTION("GOOGLETRANSLATE(C4599,""en"",""hr"")"),"Kuglasti ventil")</f>
        <v>Kuglasti ventil</v>
      </c>
    </row>
    <row r="333" spans="1:2" x14ac:dyDescent="0.2">
      <c r="A333" s="21">
        <v>7058984</v>
      </c>
      <c r="B333" s="18" t="str">
        <f ca="1">IFERROR(__xludf.DUMMYFUNCTION("GOOGLETRANSLATE(C49,""en"",""hr"")"),"Usisno crijevo")</f>
        <v>Usisno crijevo</v>
      </c>
    </row>
    <row r="334" spans="1:2" x14ac:dyDescent="0.2">
      <c r="A334" s="21">
        <v>7059025</v>
      </c>
      <c r="B334" s="18" t="str">
        <f ca="1">IFERROR(__xludf.DUMMYFUNCTION("GOOGLETRANSLATE(C1454,""en"",""hr"")"),"Upravljačka ruka")</f>
        <v>Upravljačka ruka</v>
      </c>
    </row>
    <row r="335" spans="1:2" x14ac:dyDescent="0.2">
      <c r="A335" s="21">
        <v>7059037</v>
      </c>
      <c r="B335" s="18" t="str">
        <f ca="1">IFERROR(__xludf.DUMMYFUNCTION("GOOGLETRANSLATE(C1455,""en"",""hr"")"),"Držač Hladnjak Čep")</f>
        <v>Držač Hladnjak Čep</v>
      </c>
    </row>
    <row r="336" spans="1:2" x14ac:dyDescent="0.2">
      <c r="A336" s="21">
        <v>7059041</v>
      </c>
      <c r="B336" s="18" t="str">
        <f ca="1">IFERROR(__xludf.DUMMYFUNCTION("GOOGLETRANSLATE(C1453,""en"",""hr"")"),"Držač hladnjaka")</f>
        <v>Držač hladnjaka</v>
      </c>
    </row>
    <row r="337" spans="1:2" x14ac:dyDescent="0.2">
      <c r="A337" s="21">
        <v>7059042</v>
      </c>
      <c r="B337" s="18" t="str">
        <f ca="1">IFERROR(__xludf.DUMMYFUNCTION("GOOGLETRANSLATE(C3069,""en"",""hr"")"),"Gumena usisna traka")</f>
        <v>Gumena usisna traka</v>
      </c>
    </row>
    <row r="338" spans="1:2" x14ac:dyDescent="0.2">
      <c r="A338" s="21">
        <v>7059059</v>
      </c>
      <c r="B338" s="18" t="str">
        <f ca="1">IFERROR(__xludf.DUMMYFUNCTION("GOOGLETRANSLATE(C725,""en"",""hr"")"),"Perilica za CB60")</f>
        <v>Perilica za CB60</v>
      </c>
    </row>
    <row r="339" spans="1:2" x14ac:dyDescent="0.2">
      <c r="A339" s="21">
        <v>7059113</v>
      </c>
      <c r="B339" s="18" t="str">
        <f ca="1">IFERROR(__xludf.DUMMYFUNCTION("GOOGLETRANSLATE(C3277,""en"",""hr"")"),"Kvačica cilindra")</f>
        <v>Kvačica cilindra</v>
      </c>
    </row>
    <row r="340" spans="1:2" x14ac:dyDescent="0.2">
      <c r="A340" s="21">
        <v>7059115</v>
      </c>
      <c r="B340" s="18" t="str">
        <f ca="1">IFERROR(__xludf.DUMMYFUNCTION("GOOGLETRANSLATE(C727,""en"",""hr"")"),"Držač zupčanika lijevi kap.")</f>
        <v>Držač zupčanika lijevi kap.</v>
      </c>
    </row>
    <row r="341" spans="1:2" x14ac:dyDescent="0.2">
      <c r="A341" s="21">
        <v>7059117</v>
      </c>
      <c r="B341" s="18" t="str">
        <f ca="1">IFERROR(__xludf.DUMMYFUNCTION("GOOGLETRANSLATE(C729,""en"",""hr"")"),"Držač zupčanika desno Kpl.")</f>
        <v>Držač zupčanika desno Kpl.</v>
      </c>
    </row>
    <row r="342" spans="1:2" x14ac:dyDescent="0.2">
      <c r="A342" s="21">
        <v>7059126</v>
      </c>
      <c r="B342" s="18" t="str">
        <f ca="1">IFERROR(__xludf.DUMMYFUNCTION("GOOGLETRANSLATE(C1169,""en"",""hr"")"),"Razmaknica")</f>
        <v>Razmaknica</v>
      </c>
    </row>
    <row r="343" spans="1:2" x14ac:dyDescent="0.2">
      <c r="A343" s="21">
        <v>7059160</v>
      </c>
      <c r="B343" s="18" t="str">
        <f ca="1">IFERROR(__xludf.DUMMYFUNCTION("GOOGLETRANSLATE(C1180,""en"",""hr"")"),"Prirubnica")</f>
        <v>Prirubnica</v>
      </c>
    </row>
    <row r="344" spans="1:2" x14ac:dyDescent="0.2">
      <c r="A344" s="21">
        <v>7059205</v>
      </c>
      <c r="B344" s="18" t="str">
        <f ca="1">IFERROR(__xludf.DUMMYFUNCTION("GOOGLETRANSLATE(C4711,""en"",""hr"")"),"šarka")</f>
        <v>šarka</v>
      </c>
    </row>
    <row r="345" spans="1:2" x14ac:dyDescent="0.2">
      <c r="A345" s="21">
        <v>7059273</v>
      </c>
      <c r="B345" s="18" t="str">
        <f ca="1">IFERROR(__xludf.DUMMYFUNCTION("GOOGLETRANSLATE(C3483,""en"",""hr"")"),"Gumeni nosač 2 mm")</f>
        <v>Gumeni nosač 2 mm</v>
      </c>
    </row>
    <row r="346" spans="1:2" x14ac:dyDescent="0.2">
      <c r="A346" s="21">
        <v>7059278</v>
      </c>
      <c r="B346" s="18" t="str">
        <f ca="1">IFERROR(__xludf.DUMMYFUNCTION("GOOGLETRANSLATE(C3482,""en"",""hr"")"),"Potpora prednjeg spremnika Cpl.")</f>
        <v>Potpora prednjeg spremnika Cpl.</v>
      </c>
    </row>
    <row r="347" spans="1:2" x14ac:dyDescent="0.2">
      <c r="A347" s="21">
        <v>7059292</v>
      </c>
      <c r="B347" s="18" t="str">
        <f ca="1">IFERROR(__xludf.DUMMYFUNCTION("GOOGLETRANSLATE(C5826,""en"",""hr"")"),"Disk udaljenosti")</f>
        <v>Disk udaljenosti</v>
      </c>
    </row>
    <row r="348" spans="1:2" x14ac:dyDescent="0.2">
      <c r="A348" s="21">
        <v>7059294</v>
      </c>
      <c r="B348" s="18" t="str">
        <f ca="1">IFERROR(__xludf.DUMMYFUNCTION("GOOGLETRANSLATE(C5760,""en"",""hr"")"),"Disk udaljenosti")</f>
        <v>Disk udaljenosti</v>
      </c>
    </row>
    <row r="349" spans="1:2" x14ac:dyDescent="0.2">
      <c r="A349" s="21">
        <v>7059306</v>
      </c>
      <c r="B349" s="18" t="str">
        <f ca="1">IFERROR(__xludf.DUMMYFUNCTION("GOOGLETRANSLATE(C3460,""en"",""hr"")"),"Supporto regulator vode Cpl.")</f>
        <v>Supporto regulator vode Cpl.</v>
      </c>
    </row>
    <row r="350" spans="1:2" x14ac:dyDescent="0.2">
      <c r="A350" s="21">
        <v>7059338</v>
      </c>
      <c r="B350" s="18" t="str">
        <f ca="1">IFERROR(__xludf.DUMMYFUNCTION("GOOGLETRANSLATE(C381,""en"",""hr"")"),"Gume 255/65 R16, Goodrich")</f>
        <v>Gume 255/65 R16, Goodrich</v>
      </c>
    </row>
    <row r="351" spans="1:2" x14ac:dyDescent="0.2">
      <c r="A351" s="21">
        <v>7059345</v>
      </c>
      <c r="B351" s="18" t="str">
        <f ca="1">IFERROR(__xludf.DUMMYFUNCTION("GOOGLETRANSLATE(C372,""en"",""hr"")"),"Straža")</f>
        <v>Straža</v>
      </c>
    </row>
    <row r="352" spans="1:2" x14ac:dyDescent="0.2">
      <c r="A352" s="21">
        <v>7059347</v>
      </c>
      <c r="B352" s="18" t="str">
        <f ca="1">IFERROR(__xludf.DUMMYFUNCTION("GOOGLETRANSLATE(C371,""en"",""hr"")"),"Straža")</f>
        <v>Straža</v>
      </c>
    </row>
    <row r="353" spans="1:2" x14ac:dyDescent="0.2">
      <c r="A353" s="21">
        <v>7059363</v>
      </c>
      <c r="B353" s="18" t="str">
        <f ca="1">IFERROR(__xludf.DUMMYFUNCTION("GOOGLETRANSLATE(C107,""en"",""hr"")"),"Hidraulički filter cpl.")</f>
        <v>Hidraulički filter cpl.</v>
      </c>
    </row>
    <row r="354" spans="1:2" x14ac:dyDescent="0.2">
      <c r="A354" s="21">
        <v>7059388</v>
      </c>
      <c r="B354" s="18" t="str">
        <f ca="1">IFERROR(__xludf.DUMMYFUNCTION("GOOGLETRANSLATE(C26,""en"",""hr"")"),"Hidraulički komplet filtera EV")</f>
        <v>Hidraulički komplet filtera EV</v>
      </c>
    </row>
    <row r="355" spans="1:2" x14ac:dyDescent="0.2">
      <c r="A355" s="21">
        <v>7059393</v>
      </c>
      <c r="B355" s="18" t="str">
        <f ca="1">IFERROR(__xludf.DUMMYFUNCTION("GOOGLETRANSLATE(C3521,""en"",""hr"")"),"Gumeni nosač 2 mm")</f>
        <v>Gumeni nosač 2 mm</v>
      </c>
    </row>
    <row r="356" spans="1:2" x14ac:dyDescent="0.2">
      <c r="A356" s="21">
        <v>7059399</v>
      </c>
      <c r="B356" s="18" t="str">
        <f ca="1">IFERROR(__xludf.DUMMYFUNCTION("GOOGLETRANSLATE(C3519,""en"",""hr"")"),"Gumeni nosač 2 mm")</f>
        <v>Gumeni nosač 2 mm</v>
      </c>
    </row>
    <row r="357" spans="1:2" x14ac:dyDescent="0.2">
      <c r="A357" s="21">
        <v>7059401</v>
      </c>
      <c r="B357" s="18" t="str">
        <f ca="1">IFERROR(__xludf.DUMMYFUNCTION("GOOGLETRANSLATE(C3578,""en"",""hr"")"),"Gumeni nosač")</f>
        <v>Gumeni nosač</v>
      </c>
    </row>
    <row r="358" spans="1:2" x14ac:dyDescent="0.2">
      <c r="A358" s="21">
        <v>7059402</v>
      </c>
      <c r="B358" s="18" t="str">
        <f ca="1">IFERROR(__xludf.DUMMYFUNCTION("GOOGLETRANSLATE(C3509,""en"",""hr"")"),"Korice zalijepljene")</f>
        <v>Korice zalijepljene</v>
      </c>
    </row>
    <row r="359" spans="1:2" x14ac:dyDescent="0.2">
      <c r="A359" s="21">
        <v>7059403</v>
      </c>
      <c r="B359" s="18" t="str">
        <f ca="1">IFERROR(__xludf.DUMMYFUNCTION("GOOGLETRANSLATE(C1089,""en"",""hr"")"),"razmaknica")</f>
        <v>razmaknica</v>
      </c>
    </row>
    <row r="360" spans="1:2" x14ac:dyDescent="0.2">
      <c r="A360" s="21">
        <v>7059409</v>
      </c>
      <c r="B360" s="18" t="str">
        <f ca="1">IFERROR(__xludf.DUMMYFUNCTION("GOOGLETRANSLATE(C3520,""en"",""hr"")"),"Gumeni nosač 2 mm")</f>
        <v>Gumeni nosač 2 mm</v>
      </c>
    </row>
    <row r="361" spans="1:2" x14ac:dyDescent="0.2">
      <c r="A361" s="21">
        <v>7059466</v>
      </c>
      <c r="B361" s="18" t="str">
        <f ca="1">IFERROR(__xludf.DUMMYFUNCTION("GOOGLETRANSLATE(C3525,""en"",""hr"")"),"Gumeni nosač 2 mm")</f>
        <v>Gumeni nosač 2 mm</v>
      </c>
    </row>
    <row r="362" spans="1:2" x14ac:dyDescent="0.2">
      <c r="A362" s="21">
        <v>7059467</v>
      </c>
      <c r="B362" s="18" t="str">
        <f ca="1">IFERROR(__xludf.DUMMYFUNCTION("GOOGLETRANSLATE(C3526,""en"",""hr"")"),"Gumeni nosač 2 mm")</f>
        <v>Gumeni nosač 2 mm</v>
      </c>
    </row>
    <row r="363" spans="1:2" x14ac:dyDescent="0.2">
      <c r="A363" s="21">
        <v>7059614</v>
      </c>
      <c r="B363" s="18" t="str">
        <f ca="1">IFERROR(__xludf.DUMMYFUNCTION("GOOGLETRANSLATE(C5308,""en"",""hr"")"),"Kabelski zaslon 10""")</f>
        <v>Kabelski zaslon 10"</v>
      </c>
    </row>
    <row r="364" spans="1:2" x14ac:dyDescent="0.2">
      <c r="A364" s="21">
        <v>7059626</v>
      </c>
      <c r="B364" s="18" t="str">
        <f ca="1">IFERROR(__xludf.DUMMYFUNCTION("GOOGLETRANSLATE(C3537,""en"",""hr"")"),"Termoizolacijski rekuperacijski spremnik")</f>
        <v>Termoizolacijski rekuperacijski spremnik</v>
      </c>
    </row>
    <row r="365" spans="1:2" x14ac:dyDescent="0.2">
      <c r="A365" s="21">
        <v>7059627</v>
      </c>
      <c r="B365" s="18" t="str">
        <f ca="1">IFERROR(__xludf.DUMMYFUNCTION("GOOGLETRANSLATE(C5745,""en"",""hr"")"),"Termoizolacijski hidraulički spremnik")</f>
        <v>Termoizolacijski hidraulički spremnik</v>
      </c>
    </row>
    <row r="366" spans="1:2" x14ac:dyDescent="0.2">
      <c r="A366" s="21">
        <v>7059738</v>
      </c>
      <c r="B366" s="18" t="str">
        <f ca="1">IFERROR(__xludf.DUMMYFUNCTION("GOOGLETRANSLATE(C4964,""en"",""hr"")"),"Neto")</f>
        <v>Neto</v>
      </c>
    </row>
    <row r="367" spans="1:2" x14ac:dyDescent="0.2">
      <c r="A367" s="21">
        <v>7059839</v>
      </c>
      <c r="B367" s="18" t="str">
        <f ca="1">IFERROR(__xludf.DUMMYFUNCTION("GOOGLETRANSLATE(C5880,""en"",""hr"")"),"Perilica")</f>
        <v>Perilica</v>
      </c>
    </row>
    <row r="368" spans="1:2" x14ac:dyDescent="0.2">
      <c r="A368" s="21">
        <v>7059872</v>
      </c>
      <c r="B368" s="18" t="str">
        <f ca="1">IFERROR(__xludf.DUMMYFUNCTION("GOOGLETRANSLATE(C1895,""en"",""hr"")"),"Ruka cilindra")</f>
        <v>Ruka cilindra</v>
      </c>
    </row>
    <row r="369" spans="1:2" x14ac:dyDescent="0.2">
      <c r="A369" s="21">
        <v>7059875</v>
      </c>
      <c r="B369" s="18" t="str">
        <f ca="1">IFERROR(__xludf.DUMMYFUNCTION("GOOGLETRANSLATE(C1883,""en"",""hr"")"),"Stezna traka")</f>
        <v>Stezna traka</v>
      </c>
    </row>
    <row r="370" spans="1:2" x14ac:dyDescent="0.2">
      <c r="A370" s="21">
        <v>7059877</v>
      </c>
      <c r="B370" s="18" t="str">
        <f ca="1">IFERROR(__xludf.DUMMYFUNCTION("GOOGLETRANSLATE(C1890,""en"",""hr"")"),"Sklop ručice poluge")</f>
        <v>Sklop ručice poluge</v>
      </c>
    </row>
    <row r="371" spans="1:2" x14ac:dyDescent="0.2">
      <c r="A371" s="21">
        <v>7060025</v>
      </c>
      <c r="B371" s="18" t="str">
        <f ca="1">IFERROR(__xludf.DUMMYFUNCTION("GOOGLETRANSLATE(C3744,""en"",""hr"")"),"Držač")</f>
        <v>Držač</v>
      </c>
    </row>
    <row r="372" spans="1:2" x14ac:dyDescent="0.2">
      <c r="A372" s="21">
        <v>7060102</v>
      </c>
      <c r="B372" s="18" t="str">
        <f ca="1">IFERROR(__xludf.DUMMYFUNCTION("GOOGLETRANSLATE(C3849,""en"",""hr"")"),"Vodena cijev")</f>
        <v>Vodena cijev</v>
      </c>
    </row>
    <row r="373" spans="1:2" x14ac:dyDescent="0.2">
      <c r="A373" s="21">
        <v>7060176</v>
      </c>
      <c r="B373" s="18" t="str">
        <f ca="1">IFERROR(__xludf.DUMMYFUNCTION("GOOGLETRANSLATE(C429,""en"",""hr"")"),"Hidraulično crijevo")</f>
        <v>Hidraulično crijevo</v>
      </c>
    </row>
    <row r="374" spans="1:2" x14ac:dyDescent="0.2">
      <c r="A374" s="21">
        <v>7060178</v>
      </c>
      <c r="B374" s="18" t="str">
        <f ca="1">IFERROR(__xludf.DUMMYFUNCTION("GOOGLETRANSLATE(C428,""en"",""hr"")"),"Hidraulično crijevo")</f>
        <v>Hidraulično crijevo</v>
      </c>
    </row>
    <row r="375" spans="1:2" x14ac:dyDescent="0.2">
      <c r="A375" s="21">
        <v>7060180</v>
      </c>
      <c r="B375" s="18" t="str">
        <f ca="1">IFERROR(__xludf.DUMMYFUNCTION("GOOGLETRANSLATE(C6223,""en"",""hr"")"),"Crijevo")</f>
        <v>Crijevo</v>
      </c>
    </row>
    <row r="376" spans="1:2" x14ac:dyDescent="0.2">
      <c r="A376" s="21">
        <v>7060183</v>
      </c>
      <c r="B376" s="18" t="str">
        <f ca="1">IFERROR(__xludf.DUMMYFUNCTION("GOOGLETRANSLATE(C2391,""en"",""hr"")"),"Hidraulično crijevo")</f>
        <v>Hidraulično crijevo</v>
      </c>
    </row>
    <row r="377" spans="1:2" x14ac:dyDescent="0.2">
      <c r="A377" s="21">
        <v>7060184</v>
      </c>
      <c r="B377" s="18" t="str">
        <f ca="1">IFERROR(__xludf.DUMMYFUNCTION("GOOGLETRANSLATE(C427,""en"",""hr"")"),"Hidraulično crijevo")</f>
        <v>Hidraulično crijevo</v>
      </c>
    </row>
    <row r="378" spans="1:2" x14ac:dyDescent="0.2">
      <c r="A378" s="21">
        <v>7061070</v>
      </c>
      <c r="B378" s="18" t="str">
        <f ca="1">IFERROR(__xludf.DUMMYFUNCTION("GOOGLETRANSLATE(C4609,""en"",""hr"")"),"Crijevo")</f>
        <v>Crijevo</v>
      </c>
    </row>
    <row r="379" spans="1:2" x14ac:dyDescent="0.2">
      <c r="A379" s="21">
        <v>7061236</v>
      </c>
      <c r="B379" s="18" t="str">
        <f ca="1">IFERROR(__xludf.DUMMYFUNCTION("GOOGLETRANSLATE(C3071,""en"",""hr"")"),"Čahura")</f>
        <v>Čahura</v>
      </c>
    </row>
    <row r="380" spans="1:2" x14ac:dyDescent="0.2">
      <c r="A380" s="21">
        <v>7061260</v>
      </c>
      <c r="B380" s="18" t="str">
        <f ca="1">IFERROR(__xludf.DUMMYFUNCTION("GOOGLETRANSLATE(C184,""en"",""hr"")"),"Crijevo za zrak za punjenje")</f>
        <v>Crijevo za zrak za punjenje</v>
      </c>
    </row>
    <row r="381" spans="1:2" x14ac:dyDescent="0.2">
      <c r="A381" s="21">
        <v>7061334</v>
      </c>
      <c r="B381" s="18" t="str">
        <f ca="1">IFERROR(__xludf.DUMMYFUNCTION("GOOGLETRANSLATE(C4328,""en"",""hr"")"),"brtva")</f>
        <v>brtva</v>
      </c>
    </row>
    <row r="382" spans="1:2" x14ac:dyDescent="0.2">
      <c r="A382" s="21">
        <v>7061358</v>
      </c>
      <c r="B382" s="18" t="str">
        <f ca="1">IFERROR(__xludf.DUMMYFUNCTION("GOOGLETRANSLATE(C3368,""en"",""hr"")"),"Unija")</f>
        <v>Unija</v>
      </c>
    </row>
    <row r="383" spans="1:2" x14ac:dyDescent="0.2">
      <c r="A383" s="21">
        <v>7061369</v>
      </c>
      <c r="B383" s="18" t="str">
        <f ca="1">IFERROR(__xludf.DUMMYFUNCTION("GOOGLETRANSLATE(C3878,""en"",""hr"")"),"Crijevo")</f>
        <v>Crijevo</v>
      </c>
    </row>
    <row r="384" spans="1:2" x14ac:dyDescent="0.2">
      <c r="A384" s="21">
        <v>7061450</v>
      </c>
      <c r="B384" s="18" t="str">
        <f ca="1">IFERROR(__xludf.DUMMYFUNCTION("GOOGLETRANSLATE(C3844,""en"",""hr"")"),"Crijevo")</f>
        <v>Crijevo</v>
      </c>
    </row>
    <row r="385" spans="1:2" x14ac:dyDescent="0.2">
      <c r="A385" s="21">
        <v>7061467</v>
      </c>
      <c r="B385" s="18" t="str">
        <f ca="1">IFERROR(__xludf.DUMMYFUNCTION("GOOGLETRANSLATE(C3114,""en"",""hr"")"),"Perilica")</f>
        <v>Perilica</v>
      </c>
    </row>
    <row r="386" spans="1:2" x14ac:dyDescent="0.2">
      <c r="A386" s="21">
        <v>7061504</v>
      </c>
      <c r="B386" s="18" t="str">
        <f ca="1">IFERROR(__xludf.DUMMYFUNCTION("GOOGLETRANSLATE(C189,""en"",""hr"")"),"Vodocijevni hladnjak motora")</f>
        <v>Vodocijevni hladnjak motora</v>
      </c>
    </row>
    <row r="387" spans="1:2" x14ac:dyDescent="0.2">
      <c r="A387" s="21">
        <v>7061526</v>
      </c>
      <c r="B387" s="18" t="str">
        <f ca="1">IFERROR(__xludf.DUMMYFUNCTION("GOOGLETRANSLATE(C3093,""en"",""hr"")"),"Usisna usta")</f>
        <v>Usisna usta</v>
      </c>
    </row>
    <row r="388" spans="1:2" x14ac:dyDescent="0.2">
      <c r="A388" s="21">
        <v>7061529</v>
      </c>
      <c r="B388" s="18" t="str">
        <f ca="1">IFERROR(__xludf.DUMMYFUNCTION("GOOGLETRANSLATE(C3074,""en"",""hr"")"),"Duga perforirana ploča")</f>
        <v>Duga perforirana ploča</v>
      </c>
    </row>
    <row r="389" spans="1:2" x14ac:dyDescent="0.2">
      <c r="A389" s="21">
        <v>7061544</v>
      </c>
      <c r="B389" s="18" t="str">
        <f ca="1">IFERROR(__xludf.DUMMYFUNCTION("GOOGLETRANSLATE(C262,""en"",""hr"")"),"Spojka")</f>
        <v>Spojka</v>
      </c>
    </row>
    <row r="390" spans="1:2" x14ac:dyDescent="0.2">
      <c r="A390" s="21">
        <v>7061628</v>
      </c>
      <c r="B390" s="18" t="str">
        <f ca="1">IFERROR(__xludf.DUMMYFUNCTION("GOOGLETRANSLATE(C1078,""en"",""hr"")"),"Predfilter goriva")</f>
        <v>Predfilter goriva</v>
      </c>
    </row>
    <row r="391" spans="1:2" x14ac:dyDescent="0.2">
      <c r="A391" s="21">
        <v>7061629</v>
      </c>
      <c r="B391" s="18" t="str">
        <f ca="1">IFERROR(__xludf.DUMMYFUNCTION("GOOGLETRANSLATE(C1082,""en"",""hr"")"),"Filter goriva")</f>
        <v>Filter goriva</v>
      </c>
    </row>
    <row r="392" spans="1:2" x14ac:dyDescent="0.2">
      <c r="A392" s="21">
        <v>7061631</v>
      </c>
      <c r="B392" s="18" t="str">
        <f ca="1">IFERROR(__xludf.DUMMYFUNCTION("GOOGLETRANSLATE(C5739,""en"",""hr"")"),"Spremnik hidrauličkog ulja")</f>
        <v>Spremnik hidrauličkog ulja</v>
      </c>
    </row>
    <row r="393" spans="1:2" x14ac:dyDescent="0.2">
      <c r="A393" s="21">
        <v>7061633</v>
      </c>
      <c r="B393" s="18" t="str">
        <f ca="1">IFERROR(__xludf.DUMMYFUNCTION("GOOGLETRANSLATE(C4662,""en"",""hr"")"),"Zaštita")</f>
        <v>Zaštita</v>
      </c>
    </row>
    <row r="394" spans="1:2" x14ac:dyDescent="0.2">
      <c r="A394" s="21">
        <v>7061673</v>
      </c>
      <c r="B394" s="18" t="str">
        <f ca="1">IFERROR(__xludf.DUMMYFUNCTION("GOOGLETRANSLATE(C6069,""en"",""hr"")"),"Hidraulično crijevo")</f>
        <v>Hidraulično crijevo</v>
      </c>
    </row>
    <row r="395" spans="1:2" x14ac:dyDescent="0.2">
      <c r="A395" s="21">
        <v>7061674</v>
      </c>
      <c r="B395" s="18" t="str">
        <f ca="1">IFERROR(__xludf.DUMMYFUNCTION("GOOGLETRANSLATE(C6064,""en"",""hr"")"),"Hidraulično crijevo")</f>
        <v>Hidraulično crijevo</v>
      </c>
    </row>
    <row r="396" spans="1:2" x14ac:dyDescent="0.2">
      <c r="A396" s="21">
        <v>7061764</v>
      </c>
      <c r="B396" s="18" t="str">
        <f ca="1">IFERROR(__xludf.DUMMYFUNCTION("GOOGLETRANSLATE(C3854,""en"",""hr"")"),"Razmakni grm")</f>
        <v>Razmakni grm</v>
      </c>
    </row>
    <row r="397" spans="1:2" x14ac:dyDescent="0.2">
      <c r="A397" s="21">
        <v>7061781</v>
      </c>
      <c r="B397" s="18" t="str">
        <f ca="1">IFERROR(__xludf.DUMMYFUNCTION("GOOGLETRANSLATE(C6067,""en"",""hr"")"),"Hidraulično crijevo")</f>
        <v>Hidraulično crijevo</v>
      </c>
    </row>
    <row r="398" spans="1:2" x14ac:dyDescent="0.2">
      <c r="A398" s="21">
        <v>7061782</v>
      </c>
      <c r="B398" s="18" t="str">
        <f ca="1">IFERROR(__xludf.DUMMYFUNCTION("GOOGLETRANSLATE(C6066,""en"",""hr"")"),"Hidraulično crijevo")</f>
        <v>Hidraulično crijevo</v>
      </c>
    </row>
    <row r="399" spans="1:2" x14ac:dyDescent="0.2">
      <c r="A399" s="21">
        <v>7061836</v>
      </c>
      <c r="B399" s="18" t="str">
        <f ca="1">IFERROR(__xludf.DUMMYFUNCTION("GOOGLETRANSLATE(C6068,""en"",""hr"")"),"Hidraulično crijevo")</f>
        <v>Hidraulično crijevo</v>
      </c>
    </row>
    <row r="400" spans="1:2" x14ac:dyDescent="0.2">
      <c r="A400" s="21">
        <v>7061837</v>
      </c>
      <c r="B400" s="18" t="str">
        <f ca="1">IFERROR(__xludf.DUMMYFUNCTION("GOOGLETRANSLATE(C6063,""en"",""hr"")"),"Hidraulično crijevo")</f>
        <v>Hidraulično crijevo</v>
      </c>
    </row>
    <row r="401" spans="1:2" x14ac:dyDescent="0.2">
      <c r="A401" s="21">
        <v>7061838</v>
      </c>
      <c r="B401" s="18" t="str">
        <f ca="1">IFERROR(__xludf.DUMMYFUNCTION("GOOGLETRANSLATE(C6061,""en"",""hr"")"),"Hidraulično crijevo")</f>
        <v>Hidraulično crijevo</v>
      </c>
    </row>
    <row r="402" spans="1:2" x14ac:dyDescent="0.2">
      <c r="A402" s="21">
        <v>7061839</v>
      </c>
      <c r="B402" s="18" t="str">
        <f ca="1">IFERROR(__xludf.DUMMYFUNCTION("GOOGLETRANSLATE(C6060,""en"",""hr"")"),"Hidraulično crijevo")</f>
        <v>Hidraulično crijevo</v>
      </c>
    </row>
    <row r="403" spans="1:2" x14ac:dyDescent="0.2">
      <c r="A403" s="21">
        <v>7061859</v>
      </c>
      <c r="B403" s="18" t="str">
        <f ca="1">IFERROR(__xludf.DUMMYFUNCTION("GOOGLETRANSLATE(C5947,""en"",""hr"")"),"Crijevo")</f>
        <v>Crijevo</v>
      </c>
    </row>
    <row r="404" spans="1:2" x14ac:dyDescent="0.2">
      <c r="A404" s="21">
        <v>7061860</v>
      </c>
      <c r="B404" s="18" t="str">
        <f ca="1">IFERROR(__xludf.DUMMYFUNCTION("GOOGLETRANSLATE(C5961,""en"",""hr"")"),"Crijevo")</f>
        <v>Crijevo</v>
      </c>
    </row>
    <row r="405" spans="1:2" x14ac:dyDescent="0.2">
      <c r="A405" s="21">
        <v>7061878</v>
      </c>
      <c r="B405" s="18" t="str">
        <f ca="1">IFERROR(__xludf.DUMMYFUNCTION("GOOGLETRANSLATE(C5953,""en"",""hr"")"),"Crijevo")</f>
        <v>Crijevo</v>
      </c>
    </row>
    <row r="406" spans="1:2" x14ac:dyDescent="0.2">
      <c r="A406" s="21">
        <v>7061917</v>
      </c>
      <c r="B406" s="18" t="str">
        <f ca="1">IFERROR(__xludf.DUMMYFUNCTION("GOOGLETRANSLATE(C1103,""en"",""hr"")"),"Prigušivač IIIa")</f>
        <v>Prigušivač IIIa</v>
      </c>
    </row>
    <row r="407" spans="1:2" x14ac:dyDescent="0.2">
      <c r="A407" s="21">
        <v>7061940</v>
      </c>
      <c r="B407" s="18" t="str">
        <f ca="1">IFERROR(__xludf.DUMMYFUNCTION("GOOGLETRANSLATE(C6077,""en"",""hr"")"),"Cijev")</f>
        <v>Cijev</v>
      </c>
    </row>
    <row r="408" spans="1:2" x14ac:dyDescent="0.2">
      <c r="A408" s="21">
        <v>7061941</v>
      </c>
      <c r="B408" s="18" t="str">
        <f ca="1">IFERROR(__xludf.DUMMYFUNCTION("GOOGLETRANSLATE(C6070,""en"",""hr"")"),"Cijev")</f>
        <v>Cijev</v>
      </c>
    </row>
    <row r="409" spans="1:2" x14ac:dyDescent="0.2">
      <c r="A409" s="21">
        <v>7061947</v>
      </c>
      <c r="B409" s="18" t="str">
        <f ca="1">IFERROR(__xludf.DUMMYFUNCTION("GOOGLETRANSLATE(C5985,""en"",""hr"")"),"Metalni lim")</f>
        <v>Metalni lim</v>
      </c>
    </row>
    <row r="410" spans="1:2" x14ac:dyDescent="0.2">
      <c r="A410" s="21">
        <v>7061967</v>
      </c>
      <c r="B410" s="18" t="str">
        <f ca="1">IFERROR(__xludf.DUMMYFUNCTION("GOOGLETRANSLATE(C5966,""en"",""hr"")"),"Montažna ploča")</f>
        <v>Montažna ploča</v>
      </c>
    </row>
    <row r="411" spans="1:2" x14ac:dyDescent="0.2">
      <c r="A411" s="21">
        <v>7061974</v>
      </c>
      <c r="B411" s="18" t="str">
        <f ca="1">IFERROR(__xludf.DUMMYFUNCTION("GOOGLETRANSLATE(C6078,""en"",""hr"")"),"Cijev")</f>
        <v>Cijev</v>
      </c>
    </row>
    <row r="412" spans="1:2" x14ac:dyDescent="0.2">
      <c r="A412" s="21">
        <v>7061976</v>
      </c>
      <c r="B412" s="18" t="str">
        <f ca="1">IFERROR(__xludf.DUMMYFUNCTION("GOOGLETRANSLATE(C5963,""en"",""hr"")"),"Crijevo")</f>
        <v>Crijevo</v>
      </c>
    </row>
    <row r="413" spans="1:2" x14ac:dyDescent="0.2">
      <c r="A413" s="21">
        <v>7062006</v>
      </c>
      <c r="B413" s="18" t="str">
        <f ca="1">IFERROR(__xludf.DUMMYFUNCTION("GOOGLETRANSLATE(C5288,""en"",""hr"")"),"Čahura")</f>
        <v>Čahura</v>
      </c>
    </row>
    <row r="414" spans="1:2" x14ac:dyDescent="0.2">
      <c r="A414" s="21">
        <v>7062059</v>
      </c>
      <c r="B414" s="18" t="str">
        <f ca="1">IFERROR(__xludf.DUMMYFUNCTION("GOOGLETRANSLATE(C187,""en"",""hr"")"),"Vodena cijev Motor - hladnjak")</f>
        <v>Vodena cijev Motor - hladnjak</v>
      </c>
    </row>
    <row r="415" spans="1:2" x14ac:dyDescent="0.2">
      <c r="A415" s="21">
        <v>7062067</v>
      </c>
      <c r="B415" s="18" t="str">
        <f ca="1">IFERROR(__xludf.DUMMYFUNCTION("GOOGLETRANSLATE(C6008,""en"",""hr"")"),"Hidraulički blok kpl. (4x4 blokada diferencijala)")</f>
        <v>Hidraulički blok kpl. (4x4 blokada diferencijala)</v>
      </c>
    </row>
    <row r="416" spans="1:2" x14ac:dyDescent="0.2">
      <c r="A416" s="21">
        <v>7062079</v>
      </c>
      <c r="B416" s="18" t="str">
        <f ca="1">IFERROR(__xludf.DUMMYFUNCTION("GOOGLETRANSLATE(C1104,""en"",""hr"")"),"Držač")</f>
        <v>Držač</v>
      </c>
    </row>
    <row r="417" spans="1:2" x14ac:dyDescent="0.2">
      <c r="A417" s="21">
        <v>7062080</v>
      </c>
      <c r="B417" s="18" t="str">
        <f ca="1">IFERROR(__xludf.DUMMYFUNCTION("GOOGLETRANSLATE(C2244,""en"",""hr"")"),"Mlaznica za vodu")</f>
        <v>Mlaznica za vodu</v>
      </c>
    </row>
    <row r="418" spans="1:2" x14ac:dyDescent="0.2">
      <c r="A418" s="21">
        <v>7062085</v>
      </c>
      <c r="B418" s="18" t="str">
        <f ca="1">IFERROR(__xludf.DUMMYFUNCTION("GOOGLETRANSLATE(C556,""en"",""hr"")"),"Kočioni vod")</f>
        <v>Kočioni vod</v>
      </c>
    </row>
    <row r="419" spans="1:2" x14ac:dyDescent="0.2">
      <c r="A419" s="21">
        <v>7062274</v>
      </c>
      <c r="B419" s="18" t="str">
        <f ca="1">IFERROR(__xludf.DUMMYFUNCTION("GOOGLETRANSLATE(C5976,""en"",""hr"")"),"Razdjelnik Curenje ulja u zupčaniku")</f>
        <v>Razdjelnik Curenje ulja u zupčaniku</v>
      </c>
    </row>
    <row r="420" spans="1:2" x14ac:dyDescent="0.2">
      <c r="A420" s="21">
        <v>7062350</v>
      </c>
      <c r="B420" s="18" t="str">
        <f ca="1">IFERROR(__xludf.DUMMYFUNCTION("GOOGLETRANSLATE(C935,""en"",""hr"")"),"Držač")</f>
        <v>Držač</v>
      </c>
    </row>
    <row r="421" spans="1:2" x14ac:dyDescent="0.2">
      <c r="A421" s="21">
        <v>7062356</v>
      </c>
      <c r="B421" s="18" t="str">
        <f ca="1">IFERROR(__xludf.DUMMYFUNCTION("GOOGLETRANSLATE(C909,""en"",""hr"")"),"Držač")</f>
        <v>Držač</v>
      </c>
    </row>
    <row r="422" spans="1:2" x14ac:dyDescent="0.2">
      <c r="A422" s="21">
        <v>7062362</v>
      </c>
      <c r="B422" s="18" t="str">
        <f ca="1">IFERROR(__xludf.DUMMYFUNCTION("GOOGLETRANSLATE(C336,""en"",""hr"")"),"Stražnji gazni sloj")</f>
        <v>Stražnji gazni sloj</v>
      </c>
    </row>
    <row r="423" spans="1:2" x14ac:dyDescent="0.2">
      <c r="A423" s="21">
        <v>7062363</v>
      </c>
      <c r="B423" s="18" t="str">
        <f ca="1">IFERROR(__xludf.DUMMYFUNCTION("GOOGLETRANSLATE(C334,""en"",""hr"")"),"Stražnji gazni sloj Cpl.")</f>
        <v>Stražnji gazni sloj Cpl.</v>
      </c>
    </row>
    <row r="424" spans="1:2" x14ac:dyDescent="0.2">
      <c r="A424" s="21">
        <v>7062374</v>
      </c>
      <c r="B424" s="18" t="str">
        <f ca="1">IFERROR(__xludf.DUMMYFUNCTION("GOOGLETRANSLATE(C911,""en"",""hr"")"),"Držač")</f>
        <v>Držač</v>
      </c>
    </row>
    <row r="425" spans="1:2" x14ac:dyDescent="0.2">
      <c r="A425" s="21">
        <v>7062403</v>
      </c>
      <c r="B425" s="18" t="str">
        <f ca="1">IFERROR(__xludf.DUMMYFUNCTION("GOOGLETRANSLATE(C3870,""en"",""hr"")"),"Metalni lim")</f>
        <v>Metalni lim</v>
      </c>
    </row>
    <row r="426" spans="1:2" x14ac:dyDescent="0.2">
      <c r="A426" s="21">
        <v>7062417</v>
      </c>
      <c r="B426" s="18" t="str">
        <f ca="1">IFERROR(__xludf.DUMMYFUNCTION("GOOGLETRANSLATE(C199,""en"",""hr"")"),"Sonda razine punjenja")</f>
        <v>Sonda razine punjenja</v>
      </c>
    </row>
    <row r="427" spans="1:2" x14ac:dyDescent="0.2">
      <c r="A427" s="21">
        <v>7062422</v>
      </c>
      <c r="B427" s="18" t="str">
        <f ca="1">IFERROR(__xludf.DUMMYFUNCTION("GOOGLETRANSLATE(C944,""en"",""hr"")"),"Ventilator")</f>
        <v>Ventilator</v>
      </c>
    </row>
    <row r="428" spans="1:2" x14ac:dyDescent="0.2">
      <c r="A428" s="21">
        <v>7062500</v>
      </c>
      <c r="B428" s="18" t="str">
        <f ca="1">IFERROR(__xludf.DUMMYFUNCTION("GOOGLETRANSLATE(C3851,""en"",""hr"")"),"Kolut za crijevo")</f>
        <v>Kolut za crijevo</v>
      </c>
    </row>
    <row r="429" spans="1:2" x14ac:dyDescent="0.2">
      <c r="A429" s="21">
        <v>7062635</v>
      </c>
      <c r="B429" s="18" t="str">
        <f ca="1">IFERROR(__xludf.DUMMYFUNCTION("GOOGLETRANSLATE(C2607,""en"",""hr"")"),"Crijevo")</f>
        <v>Crijevo</v>
      </c>
    </row>
    <row r="430" spans="1:2" x14ac:dyDescent="0.2">
      <c r="A430" s="21">
        <v>7062637</v>
      </c>
      <c r="B430" s="18" t="str">
        <f ca="1">IFERROR(__xludf.DUMMYFUNCTION("GOOGLETRANSLATE(C2606,""en"",""hr"")"),"Crijevo")</f>
        <v>Crijevo</v>
      </c>
    </row>
    <row r="431" spans="1:2" x14ac:dyDescent="0.2">
      <c r="A431" s="21">
        <v>7062639</v>
      </c>
      <c r="B431" s="18" t="str">
        <f ca="1">IFERROR(__xludf.DUMMYFUNCTION("GOOGLETRANSLATE(C2608,""en"",""hr"")"),"Crijevo")</f>
        <v>Crijevo</v>
      </c>
    </row>
    <row r="432" spans="1:2" x14ac:dyDescent="0.2">
      <c r="A432" s="21">
        <v>7063031</v>
      </c>
      <c r="B432" s="18" t="str">
        <f ca="1">IFERROR(__xludf.DUMMYFUNCTION("GOOGLETRANSLATE(C1954,""en"",""hr"")"),"Čahura za nagib metle")</f>
        <v>Čahura za nagib metle</v>
      </c>
    </row>
    <row r="433" spans="1:2" x14ac:dyDescent="0.2">
      <c r="A433" s="21">
        <v>7063090</v>
      </c>
      <c r="B433" s="18" t="str">
        <f ca="1">IFERROR(__xludf.DUMMYFUNCTION("GOOGLETRANSLATE(C315,""en"",""hr"")"),"Stražnja šasija")</f>
        <v>Stražnja šasija</v>
      </c>
    </row>
    <row r="434" spans="1:2" x14ac:dyDescent="0.2">
      <c r="A434" s="21">
        <v>7063103</v>
      </c>
      <c r="B434" s="18" t="str">
        <f ca="1">IFERROR(__xludf.DUMMYFUNCTION("GOOGLETRANSLATE(C945,""en"",""hr"")"),"Prirubnica")</f>
        <v>Prirubnica</v>
      </c>
    </row>
    <row r="435" spans="1:2" x14ac:dyDescent="0.2">
      <c r="A435" s="21">
        <v>7063406</v>
      </c>
      <c r="B435" s="18" t="str">
        <f ca="1">IFERROR(__xludf.DUMMYFUNCTION("GOOGLETRANSLATE(C6421,""en"",""hr"")"),"Kutija")</f>
        <v>Kutija</v>
      </c>
    </row>
    <row r="436" spans="1:2" x14ac:dyDescent="0.2">
      <c r="A436" s="21">
        <v>7063407</v>
      </c>
      <c r="B436" s="18" t="str">
        <f ca="1">IFERROR(__xludf.DUMMYFUNCTION("GOOGLETRANSLATE(C6422,""en"",""hr"")"),"Poklopac")</f>
        <v>Poklopac</v>
      </c>
    </row>
    <row r="437" spans="1:2" x14ac:dyDescent="0.2">
      <c r="A437" s="21">
        <v>7063408</v>
      </c>
      <c r="B437" s="18" t="str">
        <f ca="1">IFERROR(__xludf.DUMMYFUNCTION("GOOGLETRANSLATE(C6423,""en"",""hr"")"),"Ploča, baza")</f>
        <v>Ploča, baza</v>
      </c>
    </row>
    <row r="438" spans="1:2" x14ac:dyDescent="0.2">
      <c r="A438" s="21">
        <v>7063423</v>
      </c>
      <c r="B438" s="18" t="str">
        <f ca="1">IFERROR(__xludf.DUMMYFUNCTION("GOOGLETRANSLATE(C3522,""en"",""hr"")"),"Držač")</f>
        <v>Držač</v>
      </c>
    </row>
    <row r="439" spans="1:2" x14ac:dyDescent="0.2">
      <c r="A439" s="21">
        <v>7063424</v>
      </c>
      <c r="B439" s="18" t="str">
        <f ca="1">IFERROR(__xludf.DUMMYFUNCTION("GOOGLETRANSLATE(C5730,""en"",""hr"")"),"Držač")</f>
        <v>Držač</v>
      </c>
    </row>
    <row r="440" spans="1:2" x14ac:dyDescent="0.2">
      <c r="A440" s="21">
        <v>7063457</v>
      </c>
      <c r="B440" s="18" t="str">
        <f ca="1">IFERROR(__xludf.DUMMYFUNCTION("GOOGLETRANSLATE(C5489,""en"",""hr"")"),"Rešetka")</f>
        <v>Rešetka</v>
      </c>
    </row>
    <row r="441" spans="1:2" x14ac:dyDescent="0.2">
      <c r="A441" s="21">
        <v>7063462</v>
      </c>
      <c r="B441" s="18" t="str">
        <f ca="1">IFERROR(__xludf.DUMMYFUNCTION("GOOGLETRANSLATE(C2432,""en"",""hr"")"),"Držač")</f>
        <v>Držač</v>
      </c>
    </row>
    <row r="442" spans="1:2" x14ac:dyDescent="0.2">
      <c r="A442" s="21">
        <v>7063490</v>
      </c>
      <c r="B442" s="18" t="str">
        <f ca="1">IFERROR(__xludf.DUMMYFUNCTION("GOOGLETRANSLATE(C318,""en"",""hr"")"),"Podrška za baterije 12v Cpl.")</f>
        <v>Podrška za baterije 12v Cpl.</v>
      </c>
    </row>
    <row r="443" spans="1:2" x14ac:dyDescent="0.2">
      <c r="A443" s="21">
        <v>7063523</v>
      </c>
      <c r="B443" s="18" t="str">
        <f ca="1">IFERROR(__xludf.DUMMYFUNCTION("GOOGLETRANSLATE(C5950,""en"",""hr"")"),"Visokotlačno crijevo")</f>
        <v>Visokotlačno crijevo</v>
      </c>
    </row>
    <row r="444" spans="1:2" x14ac:dyDescent="0.2">
      <c r="A444" s="21">
        <v>7063524</v>
      </c>
      <c r="B444" s="18" t="str">
        <f ca="1">IFERROR(__xludf.DUMMYFUNCTION("GOOGLETRANSLATE(C5938,""en"",""hr"")"),"Visokotlačno crijevo")</f>
        <v>Visokotlačno crijevo</v>
      </c>
    </row>
    <row r="445" spans="1:2" x14ac:dyDescent="0.2">
      <c r="A445" s="21">
        <v>7063525</v>
      </c>
      <c r="B445" s="18" t="str">
        <f ca="1">IFERROR(__xludf.DUMMYFUNCTION("GOOGLETRANSLATE(C5940,""en"",""hr"")"),"Visokotlačno crijevo")</f>
        <v>Visokotlačno crijevo</v>
      </c>
    </row>
    <row r="446" spans="1:2" x14ac:dyDescent="0.2">
      <c r="A446" s="21">
        <v>7063526</v>
      </c>
      <c r="B446" s="18" t="str">
        <f ca="1">IFERROR(__xludf.DUMMYFUNCTION("GOOGLETRANSLATE(C5936,""en"",""hr"")"),"Visokotlačno crijevo")</f>
        <v>Visokotlačno crijevo</v>
      </c>
    </row>
    <row r="447" spans="1:2" x14ac:dyDescent="0.2">
      <c r="A447" s="21">
        <v>7063536</v>
      </c>
      <c r="B447" s="18" t="str">
        <f ca="1">IFERROR(__xludf.DUMMYFUNCTION("GOOGLETRANSLATE(C994,""en"",""hr"")"),"Zaštita od prskanja")</f>
        <v>Zaštita od prskanja</v>
      </c>
    </row>
    <row r="448" spans="1:2" x14ac:dyDescent="0.2">
      <c r="A448" s="21">
        <v>7063567</v>
      </c>
      <c r="B448" s="18" t="str">
        <f ca="1">IFERROR(__xludf.DUMMYFUNCTION("GOOGLETRANSLATE(C5484,""en"",""hr"")"),"Okvir")</f>
        <v>Okvir</v>
      </c>
    </row>
    <row r="449" spans="1:2" x14ac:dyDescent="0.2">
      <c r="A449" s="21">
        <v>7063572</v>
      </c>
      <c r="B449" s="18" t="str">
        <f ca="1">IFERROR(__xludf.DUMMYFUNCTION("GOOGLETRANSLATE(C5534,""en"",""hr"")"),"Brtvena ploča")</f>
        <v>Brtvena ploča</v>
      </c>
    </row>
    <row r="450" spans="1:2" x14ac:dyDescent="0.2">
      <c r="A450" s="21">
        <v>7063605</v>
      </c>
      <c r="B450" s="18" t="str">
        <f ca="1">IFERROR(__xludf.DUMMYFUNCTION("GOOGLETRANSLATE(C4673,""en"",""hr"")"),"Držač")</f>
        <v>Držač</v>
      </c>
    </row>
    <row r="451" spans="1:2" x14ac:dyDescent="0.2">
      <c r="A451" s="21">
        <v>7063606</v>
      </c>
      <c r="B451" s="18" t="str">
        <f ca="1">IFERROR(__xludf.DUMMYFUNCTION("GOOGLETRANSLATE(C4669,""en"",""hr"")"),"Držač")</f>
        <v>Držač</v>
      </c>
    </row>
    <row r="452" spans="1:2" x14ac:dyDescent="0.2">
      <c r="A452" s="21">
        <v>7063618</v>
      </c>
      <c r="B452" s="18" t="str">
        <f ca="1">IFERROR(__xludf.DUMMYFUNCTION("GOOGLETRANSLATE(C6766,""en"",""hr"")"),"Ljepljiva ploča")</f>
        <v>Ljepljiva ploča</v>
      </c>
    </row>
    <row r="453" spans="1:2" x14ac:dyDescent="0.2">
      <c r="A453" s="21">
        <v>7063619</v>
      </c>
      <c r="B453" s="18" t="str">
        <f ca="1">IFERROR(__xludf.DUMMYFUNCTION("GOOGLETRANSLATE(C6767,""en"",""hr"")"),"Ljepljiva ploča")</f>
        <v>Ljepljiva ploča</v>
      </c>
    </row>
    <row r="454" spans="1:2" x14ac:dyDescent="0.2">
      <c r="A454" s="21">
        <v>7063620</v>
      </c>
      <c r="B454" s="18" t="str">
        <f ca="1">IFERROR(__xludf.DUMMYFUNCTION("GOOGLETRANSLATE(C6771,""en"",""hr"")"),"Ljepljiva ploča")</f>
        <v>Ljepljiva ploča</v>
      </c>
    </row>
    <row r="455" spans="1:2" x14ac:dyDescent="0.2">
      <c r="A455" s="21">
        <v>7063622</v>
      </c>
      <c r="B455" s="18" t="str">
        <f ca="1">IFERROR(__xludf.DUMMYFUNCTION("GOOGLETRANSLATE(C1560,""en"",""hr"")"),"Držač")</f>
        <v>Držač</v>
      </c>
    </row>
    <row r="456" spans="1:2" x14ac:dyDescent="0.2">
      <c r="A456" s="21">
        <v>7063645</v>
      </c>
      <c r="B456" s="18" t="str">
        <f ca="1">IFERROR(__xludf.DUMMYFUNCTION("GOOGLETRANSLATE(C6375,""en"",""hr"")"),"Držač")</f>
        <v>Držač</v>
      </c>
    </row>
    <row r="457" spans="1:2" x14ac:dyDescent="0.2">
      <c r="A457" s="21">
        <v>7063647</v>
      </c>
      <c r="B457" s="18" t="str">
        <f ca="1">IFERROR(__xludf.DUMMYFUNCTION("GOOGLETRANSLATE(C6357,""en"",""hr"")"),"Držač")</f>
        <v>Držač</v>
      </c>
    </row>
    <row r="458" spans="1:2" x14ac:dyDescent="0.2">
      <c r="A458" s="21">
        <v>7063649</v>
      </c>
      <c r="B458" s="18" t="str">
        <f ca="1">IFERROR(__xludf.DUMMYFUNCTION("GOOGLETRANSLATE(C6365,""en"",""hr"")"),"Ploča za pričvršćivanje")</f>
        <v>Ploča za pričvršćivanje</v>
      </c>
    </row>
    <row r="459" spans="1:2" x14ac:dyDescent="0.2">
      <c r="A459" s="21">
        <v>7063650</v>
      </c>
      <c r="B459" s="18" t="str">
        <f ca="1">IFERROR(__xludf.DUMMYFUNCTION("GOOGLETRANSLATE(C335,""en"",""hr"")"),"Držač stražnjeg gaznog sloja")</f>
        <v>Držač stražnjeg gaznog sloja</v>
      </c>
    </row>
    <row r="460" spans="1:2" x14ac:dyDescent="0.2">
      <c r="A460" s="21">
        <v>7063700</v>
      </c>
      <c r="B460" s="18" t="str">
        <f ca="1">IFERROR(__xludf.DUMMYFUNCTION("GOOGLETRANSLATE(C286,""en"",""hr"")"),"Potpora kabine Bar Cpl.")</f>
        <v>Potpora kabine Bar Cpl.</v>
      </c>
    </row>
    <row r="461" spans="1:2" x14ac:dyDescent="0.2">
      <c r="A461" s="21">
        <v>7063707</v>
      </c>
      <c r="B461" s="18" t="str">
        <f ca="1">IFERROR(__xludf.DUMMYFUNCTION("GOOGLETRANSLATE(C1353,""en"",""hr"")"),"Držač")</f>
        <v>Držač</v>
      </c>
    </row>
    <row r="462" spans="1:2" x14ac:dyDescent="0.2">
      <c r="A462" s="21">
        <v>7063710</v>
      </c>
      <c r="B462" s="18" t="str">
        <f ca="1">IFERROR(__xludf.DUMMYFUNCTION("GOOGLETRANSLATE(C913,""en"",""hr"")"),"Kormilarnica")</f>
        <v>Kormilarnica</v>
      </c>
    </row>
    <row r="463" spans="1:2" x14ac:dyDescent="0.2">
      <c r="A463" s="21">
        <v>7063741</v>
      </c>
      <c r="B463" s="18" t="str">
        <f ca="1">IFERROR(__xludf.DUMMYFUNCTION("GOOGLETRANSLATE(C2061,""en"",""hr"")"),"Cijev")</f>
        <v>Cijev</v>
      </c>
    </row>
    <row r="464" spans="1:2" x14ac:dyDescent="0.2">
      <c r="A464" s="21">
        <v>7063800</v>
      </c>
      <c r="B464" s="18" t="str">
        <f ca="1">IFERROR(__xludf.DUMMYFUNCTION("GOOGLETRANSLATE(C6289,""en"",""hr"")"),"Ožičenje (+FO-FB)")</f>
        <v>Ožičenje (+FO-FB)</v>
      </c>
    </row>
    <row r="465" spans="1:2" x14ac:dyDescent="0.2">
      <c r="A465" s="21">
        <v>7063813</v>
      </c>
      <c r="B465" s="18" t="str">
        <f ca="1">IFERROR(__xludf.DUMMYFUNCTION("GOOGLETRANSLATE(C6275,""en"",""hr"")"),"Ožičenje (+O-CH)")</f>
        <v>Ožičenje (+O-CH)</v>
      </c>
    </row>
    <row r="466" spans="1:2" x14ac:dyDescent="0.2">
      <c r="A466" s="21">
        <v>7063839</v>
      </c>
      <c r="B466" s="18" t="str">
        <f ca="1">IFERROR(__xludf.DUMMYFUNCTION("GOOGLETRANSLATE(C2148,""en"",""hr"")"),"Crijevo")</f>
        <v>Crijevo</v>
      </c>
    </row>
    <row r="467" spans="1:2" x14ac:dyDescent="0.2">
      <c r="A467" s="21">
        <v>7063877</v>
      </c>
      <c r="B467" s="18" t="str">
        <f ca="1">IFERROR(__xludf.DUMMYFUNCTION("GOOGLETRANSLATE(C6260,""en"",""hr"")"),"Kabelski svežanj (+CA-F)")</f>
        <v>Kabelski svežanj (+CA-F)</v>
      </c>
    </row>
    <row r="468" spans="1:2" x14ac:dyDescent="0.2">
      <c r="A468" s="21">
        <v>7063878</v>
      </c>
      <c r="B468" s="18" t="str">
        <f ca="1">IFERROR(__xludf.DUMMYFUNCTION("GOOGLETRANSLATE(C6262,""en"",""hr"")"),"Kabelski svežanj (+CA-F)")</f>
        <v>Kabelski svežanj (+CA-F)</v>
      </c>
    </row>
    <row r="469" spans="1:2" x14ac:dyDescent="0.2">
      <c r="A469" s="21">
        <v>7063879</v>
      </c>
      <c r="B469" s="18" t="str">
        <f ca="1">IFERROR(__xludf.DUMMYFUNCTION("GOOGLETRANSLATE(C6263,""en"",""hr"")"),"Kabelski svežanj (+CA-F)")</f>
        <v>Kabelski svežanj (+CA-F)</v>
      </c>
    </row>
    <row r="470" spans="1:2" x14ac:dyDescent="0.2">
      <c r="A470" s="21">
        <v>7063880</v>
      </c>
      <c r="B470" s="18" t="str">
        <f ca="1">IFERROR(__xludf.DUMMYFUNCTION("GOOGLETRANSLATE(C6261,""en"",""hr"")"),"Kabelski svežanj (+CA-F)")</f>
        <v>Kabelski svežanj (+CA-F)</v>
      </c>
    </row>
    <row r="471" spans="1:2" x14ac:dyDescent="0.2">
      <c r="A471" s="21">
        <v>7063881</v>
      </c>
      <c r="B471" s="18" t="str">
        <f ca="1">IFERROR(__xludf.DUMMYFUNCTION("GOOGLETRANSLATE(C1010,""en"",""hr"")"),"Držač")</f>
        <v>Držač</v>
      </c>
    </row>
    <row r="472" spans="1:2" x14ac:dyDescent="0.2">
      <c r="A472" s="21">
        <v>7063883</v>
      </c>
      <c r="B472" s="18" t="str">
        <f ca="1">IFERROR(__xludf.DUMMYFUNCTION("GOOGLETRANSLATE(C1045,""en"",""hr"")"),"Držač")</f>
        <v>Držač</v>
      </c>
    </row>
    <row r="473" spans="1:2" x14ac:dyDescent="0.2">
      <c r="A473" s="21">
        <v>7063886</v>
      </c>
      <c r="B473" s="18" t="str">
        <f ca="1">IFERROR(__xludf.DUMMYFUNCTION("GOOGLETRANSLATE(C3505,""en"",""hr"")"),"Nosač cijevi za punjenje")</f>
        <v>Nosač cijevi za punjenje</v>
      </c>
    </row>
    <row r="474" spans="1:2" x14ac:dyDescent="0.2">
      <c r="A474" s="21">
        <v>7063903</v>
      </c>
      <c r="B474" s="18" t="str">
        <f ca="1">IFERROR(__xludf.DUMMYFUNCTION("GOOGLETRANSLATE(C616,""en"",""hr"")"),"Prtljažnik kotača")</f>
        <v>Prtljažnik kotača</v>
      </c>
    </row>
    <row r="475" spans="1:2" x14ac:dyDescent="0.2">
      <c r="A475" s="21">
        <v>7063924</v>
      </c>
      <c r="B475" s="18" t="str">
        <f ca="1">IFERROR(__xludf.DUMMYFUNCTION("GOOGLETRANSLATE(C4760,""en"",""hr"")"),"Odbojnik za udarce")</f>
        <v>Odbojnik za udarce</v>
      </c>
    </row>
    <row r="476" spans="1:2" x14ac:dyDescent="0.2">
      <c r="A476" s="21">
        <v>7063934</v>
      </c>
      <c r="B476" s="18" t="str">
        <f ca="1">IFERROR(__xludf.DUMMYFUNCTION("GOOGLETRANSLATE(C4666,""en"",""hr"")"),"Odbojnik za udarce")</f>
        <v>Odbojnik za udarce</v>
      </c>
    </row>
    <row r="477" spans="1:2" x14ac:dyDescent="0.2">
      <c r="A477" s="21">
        <v>7063935</v>
      </c>
      <c r="B477" s="18" t="str">
        <f ca="1">IFERROR(__xludf.DUMMYFUNCTION("GOOGLETRANSLATE(C3267,""en"",""hr"")"),"Poklopni cilindar")</f>
        <v>Poklopni cilindar</v>
      </c>
    </row>
    <row r="478" spans="1:2" x14ac:dyDescent="0.2">
      <c r="A478" s="21">
        <v>7063953</v>
      </c>
      <c r="B478" s="18" t="str">
        <f ca="1">IFERROR(__xludf.DUMMYFUNCTION("GOOGLETRANSLATE(C5732,""en"",""hr"")"),"Hidraulična zaštitna ploča")</f>
        <v>Hidraulična zaštitna ploča</v>
      </c>
    </row>
    <row r="479" spans="1:2" x14ac:dyDescent="0.2">
      <c r="A479" s="21">
        <v>7063966</v>
      </c>
      <c r="B479" s="18" t="str">
        <f ca="1">IFERROR(__xludf.DUMMYFUNCTION("GOOGLETRANSLATE(C6150,""en"",""hr"")"),"Hidraulički blok kpl.")</f>
        <v>Hidraulički blok kpl.</v>
      </c>
    </row>
    <row r="480" spans="1:2" x14ac:dyDescent="0.2">
      <c r="A480" s="21">
        <v>7063967</v>
      </c>
      <c r="B480" s="18" t="str">
        <f ca="1">IFERROR(__xludf.DUMMYFUNCTION("GOOGLETRANSLATE(C2345,""en"",""hr"")"),"Hidraulički blok kpl.")</f>
        <v>Hidraulički blok kpl.</v>
      </c>
    </row>
    <row r="481" spans="1:2" x14ac:dyDescent="0.2">
      <c r="A481" s="21">
        <v>7063979</v>
      </c>
      <c r="B481" s="18" t="str">
        <f ca="1">IFERROR(__xludf.DUMMYFUNCTION("GOOGLETRANSLATE(C4672,""en"",""hr"")"),"Gumeni štitnik od blata lijevo")</f>
        <v>Gumeni štitnik od blata lijevo</v>
      </c>
    </row>
    <row r="482" spans="1:2" x14ac:dyDescent="0.2">
      <c r="A482" s="21">
        <v>7063980</v>
      </c>
      <c r="B482" s="18" t="str">
        <f ca="1">IFERROR(__xludf.DUMMYFUNCTION("GOOGLETRANSLATE(C4667,""en"",""hr"")"),"Gumeni blatobran desni")</f>
        <v>Gumeni blatobran desni</v>
      </c>
    </row>
    <row r="483" spans="1:2" x14ac:dyDescent="0.2">
      <c r="A483" s="21">
        <v>7064015</v>
      </c>
      <c r="B483" s="18" t="str">
        <f ca="1">IFERROR(__xludf.DUMMYFUNCTION("GOOGLETRANSLATE(C340,""en"",""hr"")"),"Zaključavanje limene baterije 12v")</f>
        <v>Zaključavanje limene baterije 12v</v>
      </c>
    </row>
    <row r="484" spans="1:2" x14ac:dyDescent="0.2">
      <c r="A484" s="21">
        <v>7064023</v>
      </c>
      <c r="B484" s="18" t="str">
        <f ca="1">IFERROR(__xludf.DUMMYFUNCTION("GOOGLETRANSLATE(C3548,""en"",""hr"")"),"Zasun s prirubnicom")</f>
        <v>Zasun s prirubnicom</v>
      </c>
    </row>
    <row r="485" spans="1:2" x14ac:dyDescent="0.2">
      <c r="A485" s="21">
        <v>7064038</v>
      </c>
      <c r="B485" s="18" t="str">
        <f ca="1">IFERROR(__xludf.DUMMYFUNCTION("GOOGLETRANSLATE(C4880,""en"",""hr"")"),"Držač")</f>
        <v>Držač</v>
      </c>
    </row>
    <row r="486" spans="1:2" x14ac:dyDescent="0.2">
      <c r="A486" s="21">
        <v>7064044</v>
      </c>
      <c r="B486" s="18" t="str">
        <f ca="1">IFERROR(__xludf.DUMMYFUNCTION("GOOGLETRANSLATE(C5643,""en"",""hr"")"),"gas")</f>
        <v>gas</v>
      </c>
    </row>
    <row r="487" spans="1:2" x14ac:dyDescent="0.2">
      <c r="A487" s="21">
        <v>7064051</v>
      </c>
      <c r="B487" s="18" t="str">
        <f ca="1">IFERROR(__xludf.DUMMYFUNCTION("GOOGLETRANSLATE(C3554,""en"",""hr"")"),"brtva")</f>
        <v>brtva</v>
      </c>
    </row>
    <row r="488" spans="1:2" x14ac:dyDescent="0.2">
      <c r="A488" s="21">
        <v>7064060</v>
      </c>
      <c r="B488" s="18" t="str">
        <f ca="1">IFERROR(__xludf.DUMMYFUNCTION("GOOGLETRANSLATE(C4979,""en"",""hr"")"),"Ploča")</f>
        <v>Ploča</v>
      </c>
    </row>
    <row r="489" spans="1:2" x14ac:dyDescent="0.2">
      <c r="A489" s="21">
        <v>7064061</v>
      </c>
      <c r="B489" s="18" t="str">
        <f ca="1">IFERROR(__xludf.DUMMYFUNCTION("GOOGLETRANSLATE(C4980,""en"",""hr"")"),"Ploča")</f>
        <v>Ploča</v>
      </c>
    </row>
    <row r="490" spans="1:2" x14ac:dyDescent="0.2">
      <c r="A490" s="21">
        <v>7064083</v>
      </c>
      <c r="B490" s="18" t="str">
        <f ca="1">IFERROR(__xludf.DUMMYFUNCTION("GOOGLETRANSLATE(C5005,""en"",""hr"")"),"Stezna ploča")</f>
        <v>Stezna ploča</v>
      </c>
    </row>
    <row r="491" spans="1:2" x14ac:dyDescent="0.2">
      <c r="A491" s="21">
        <v>7064084</v>
      </c>
      <c r="B491" s="18" t="str">
        <f ca="1">IFERROR(__xludf.DUMMYFUNCTION("GOOGLETRANSLATE(C5004,""en"",""hr"")"),"Ploča")</f>
        <v>Ploča</v>
      </c>
    </row>
    <row r="492" spans="1:2" x14ac:dyDescent="0.2">
      <c r="A492" s="21">
        <v>7064093</v>
      </c>
      <c r="B492" s="18" t="str">
        <f ca="1">IFERROR(__xludf.DUMMYFUNCTION("GOOGLETRANSLATE(C1046,""en"",""hr"")"),"Držač")</f>
        <v>Držač</v>
      </c>
    </row>
    <row r="493" spans="1:2" x14ac:dyDescent="0.2">
      <c r="A493" s="21">
        <v>7064102</v>
      </c>
      <c r="B493" s="18" t="str">
        <f ca="1">IFERROR(__xludf.DUMMYFUNCTION("GOOGLETRANSLATE(C3512,""en"",""hr"")"),"Dno poklopca spremnika za rekuperaciju")</f>
        <v>Dno poklopca spremnika za rekuperaciju</v>
      </c>
    </row>
    <row r="494" spans="1:2" x14ac:dyDescent="0.2">
      <c r="A494" s="21">
        <v>7064111</v>
      </c>
      <c r="B494" s="18" t="str">
        <f ca="1">IFERROR(__xludf.DUMMYFUNCTION("GOOGLETRANSLATE(C5006,""en"",""hr"")"),"Pin")</f>
        <v>Pin</v>
      </c>
    </row>
    <row r="495" spans="1:2" x14ac:dyDescent="0.2">
      <c r="A495" s="21">
        <v>7064119</v>
      </c>
      <c r="B495" s="18" t="str">
        <f ca="1">IFERROR(__xludf.DUMMYFUNCTION("GOOGLETRANSLATE(C5045,""en"",""hr"")"),"Zasun za zatvaranje")</f>
        <v>Zasun za zatvaranje</v>
      </c>
    </row>
    <row r="496" spans="1:2" x14ac:dyDescent="0.2">
      <c r="A496" s="21">
        <v>7064155</v>
      </c>
      <c r="B496" s="18" t="str">
        <f ca="1">IFERROR(__xludf.DUMMYFUNCTION("GOOGLETRANSLATE(C185,""en"",""hr"")"),"Radijator cpl.")</f>
        <v>Radijator cpl.</v>
      </c>
    </row>
    <row r="497" spans="1:2" x14ac:dyDescent="0.2">
      <c r="A497" s="21">
        <v>7064186</v>
      </c>
      <c r="B497" s="18" t="str">
        <f ca="1">IFERROR(__xludf.DUMMYFUNCTION("GOOGLETRANSLATE(C3864,""en"",""hr"")"),"Supporto")</f>
        <v>Supporto</v>
      </c>
    </row>
    <row r="498" spans="1:2" x14ac:dyDescent="0.2">
      <c r="A498" s="21">
        <v>7064208</v>
      </c>
      <c r="B498" s="18" t="str">
        <f ca="1">IFERROR(__xludf.DUMMYFUNCTION("GOOGLETRANSLATE(C3516,""en"",""hr"")"),"Klinasti držač Cpl.")</f>
        <v>Klinasti držač Cpl.</v>
      </c>
    </row>
    <row r="499" spans="1:2" x14ac:dyDescent="0.2">
      <c r="A499" s="21">
        <v>7064225</v>
      </c>
      <c r="B499" s="18" t="str">
        <f ca="1">IFERROR(__xludf.DUMMYFUNCTION("GOOGLETRANSLATE(C5943,""en"",""hr"")"),"Cijev")</f>
        <v>Cijev</v>
      </c>
    </row>
    <row r="500" spans="1:2" x14ac:dyDescent="0.2">
      <c r="A500" s="21">
        <v>7064227</v>
      </c>
      <c r="B500" s="18" t="str">
        <f ca="1">IFERROR(__xludf.DUMMYFUNCTION("GOOGLETRANSLATE(C5945,""en"",""hr"")"),"Cijev")</f>
        <v>Cijev</v>
      </c>
    </row>
    <row r="501" spans="1:2" x14ac:dyDescent="0.2">
      <c r="A501" s="21">
        <v>7064228</v>
      </c>
      <c r="B501" s="18" t="str">
        <f ca="1">IFERROR(__xludf.DUMMYFUNCTION("GOOGLETRANSLATE(C5941,""en"",""hr"")"),"Visokotlačno crijevo")</f>
        <v>Visokotlačno crijevo</v>
      </c>
    </row>
    <row r="502" spans="1:2" x14ac:dyDescent="0.2">
      <c r="A502" s="21">
        <v>7064229</v>
      </c>
      <c r="B502" s="18" t="str">
        <f ca="1">IFERROR(__xludf.DUMMYFUNCTION("GOOGLETRANSLATE(C5951,""en"",""hr"")"),"Visokotlačno crijevo")</f>
        <v>Visokotlačno crijevo</v>
      </c>
    </row>
    <row r="503" spans="1:2" x14ac:dyDescent="0.2">
      <c r="A503" s="21">
        <v>7064230</v>
      </c>
      <c r="B503" s="18" t="str">
        <f ca="1">IFERROR(__xludf.DUMMYFUNCTION("GOOGLETRANSLATE(C5939,""en"",""hr"")"),"Visokotlačno crijevo")</f>
        <v>Visokotlačno crijevo</v>
      </c>
    </row>
    <row r="504" spans="1:2" x14ac:dyDescent="0.2">
      <c r="A504" s="21">
        <v>7064231</v>
      </c>
      <c r="B504" s="18" t="str">
        <f ca="1">IFERROR(__xludf.DUMMYFUNCTION("GOOGLETRANSLATE(C5937,""en"",""hr"")"),"Visokotlačno crijevo")</f>
        <v>Visokotlačno crijevo</v>
      </c>
    </row>
    <row r="505" spans="1:2" x14ac:dyDescent="0.2">
      <c r="A505" s="21">
        <v>7064254</v>
      </c>
      <c r="B505" s="18" t="str">
        <f ca="1">IFERROR(__xludf.DUMMYFUNCTION("GOOGLETRANSLATE(C6488,""en"",""hr"")"),"Držač")</f>
        <v>Držač</v>
      </c>
    </row>
    <row r="506" spans="1:2" x14ac:dyDescent="0.2">
      <c r="A506" s="21">
        <v>7064255</v>
      </c>
      <c r="B506" s="18" t="str">
        <f ca="1">IFERROR(__xludf.DUMMYFUNCTION("GOOGLETRANSLATE(C6489,""en"",""hr"")"),"Ploča za pričvršćivanje")</f>
        <v>Ploča za pričvršćivanje</v>
      </c>
    </row>
    <row r="507" spans="1:2" x14ac:dyDescent="0.2">
      <c r="A507" s="21">
        <v>7064256</v>
      </c>
      <c r="B507" s="18" t="str">
        <f ca="1">IFERROR(__xludf.DUMMYFUNCTION("GOOGLETRANSLATE(C6491,""en"",""hr"")"),"Ploča za pričvršćivanje")</f>
        <v>Ploča za pričvršćivanje</v>
      </c>
    </row>
    <row r="508" spans="1:2" x14ac:dyDescent="0.2">
      <c r="A508" s="21">
        <v>7064257</v>
      </c>
      <c r="B508" s="18" t="str">
        <f ca="1">IFERROR(__xludf.DUMMYFUNCTION("GOOGLETRANSLATE(C6490,""en"",""hr"")"),"Ploča za pričvršćivanje")</f>
        <v>Ploča za pričvršćivanje</v>
      </c>
    </row>
    <row r="509" spans="1:2" x14ac:dyDescent="0.2">
      <c r="A509" s="21">
        <v>7064262</v>
      </c>
      <c r="B509" s="18" t="str">
        <f ca="1">IFERROR(__xludf.DUMMYFUNCTION("GOOGLETRANSLATE(C5920,""en"",""hr"")"),"Cijev")</f>
        <v>Cijev</v>
      </c>
    </row>
    <row r="510" spans="1:2" x14ac:dyDescent="0.2">
      <c r="A510" s="21">
        <v>7064273</v>
      </c>
      <c r="B510" s="18" t="str">
        <f ca="1">IFERROR(__xludf.DUMMYFUNCTION("GOOGLETRANSLATE(C5919,""en"",""hr"")"),"Cijev")</f>
        <v>Cijev</v>
      </c>
    </row>
    <row r="511" spans="1:2" x14ac:dyDescent="0.2">
      <c r="A511" s="21">
        <v>7064314</v>
      </c>
      <c r="B511" s="18" t="str">
        <f ca="1">IFERROR(__xludf.DUMMYFUNCTION("GOOGLETRANSLATE(C2373,""en"",""hr"")"),"Cijev")</f>
        <v>Cijev</v>
      </c>
    </row>
    <row r="512" spans="1:2" x14ac:dyDescent="0.2">
      <c r="A512" s="21">
        <v>7064335</v>
      </c>
      <c r="B512" s="18" t="str">
        <f ca="1">IFERROR(__xludf.DUMMYFUNCTION("GOOGLETRANSLATE(C33,""en"",""hr"")"),"Poklopac hladnjaka")</f>
        <v>Poklopac hladnjaka</v>
      </c>
    </row>
    <row r="513" spans="1:2" x14ac:dyDescent="0.2">
      <c r="A513" s="21">
        <v>7064360</v>
      </c>
      <c r="B513" s="18" t="str">
        <f ca="1">IFERROR(__xludf.DUMMYFUNCTION("GOOGLETRANSLATE(C1550,""en"",""hr"")"),"Ploča za pričvršćivanje")</f>
        <v>Ploča za pričvršćivanje</v>
      </c>
    </row>
    <row r="514" spans="1:2" x14ac:dyDescent="0.2">
      <c r="A514" s="21">
        <v>7064383</v>
      </c>
      <c r="B514" s="18" t="str">
        <f ca="1">IFERROR(__xludf.DUMMYFUNCTION("GOOGLETRANSLATE(C5226,""en"",""hr"")"),"Ploča, baza")</f>
        <v>Ploča, baza</v>
      </c>
    </row>
    <row r="515" spans="1:2" x14ac:dyDescent="0.2">
      <c r="A515" s="21">
        <v>7064385</v>
      </c>
      <c r="B515" s="18" t="str">
        <f ca="1">IFERROR(__xludf.DUMMYFUNCTION("GOOGLETRANSLATE(C5225,""en"",""hr"")"),"Ploča, baza")</f>
        <v>Ploča, baza</v>
      </c>
    </row>
    <row r="516" spans="1:2" x14ac:dyDescent="0.2">
      <c r="A516" s="21">
        <v>7064394</v>
      </c>
      <c r="B516" s="18" t="str">
        <f ca="1">IFERROR(__xludf.DUMMYFUNCTION("GOOGLETRANSLATE(C37,""en"",""hr"")"),"Svjetlo registarske pločice")</f>
        <v>Svjetlo registarske pločice</v>
      </c>
    </row>
    <row r="517" spans="1:2" x14ac:dyDescent="0.2">
      <c r="A517" s="21">
        <v>7064433</v>
      </c>
      <c r="B517" s="18" t="str">
        <f ca="1">IFERROR(__xludf.DUMMYFUNCTION("GOOGLETRANSLATE(C1394,""en"",""hr"")"),"Zagrada")</f>
        <v>Zagrada</v>
      </c>
    </row>
    <row r="518" spans="1:2" x14ac:dyDescent="0.2">
      <c r="A518" s="21">
        <v>7064435</v>
      </c>
      <c r="B518" s="18" t="str">
        <f ca="1">IFERROR(__xludf.DUMMYFUNCTION("GOOGLETRANSLATE(C1518,""en"",""hr"")"),"Visokonaponski kabel DC hidraulike")</f>
        <v>Visokonaponski kabel DC hidraulike</v>
      </c>
    </row>
    <row r="519" spans="1:2" x14ac:dyDescent="0.2">
      <c r="A519" s="21">
        <v>7064437</v>
      </c>
      <c r="B519" s="18" t="str">
        <f ca="1">IFERROR(__xludf.DUMMYFUNCTION("GOOGLETRANSLATE(C1516,""en"",""hr"")"),"Visokonaponski kabel DC grijač")</f>
        <v>Visokonaponski kabel DC grijač</v>
      </c>
    </row>
    <row r="520" spans="1:2" x14ac:dyDescent="0.2">
      <c r="A520" s="21">
        <v>7064439</v>
      </c>
      <c r="B520" s="18" t="str">
        <f ca="1">IFERROR(__xludf.DUMMYFUNCTION("GOOGLETRANSLATE(C1515,""en"",""hr"")"),"Visokonaponski kabel DC punjač")</f>
        <v>Visokonaponski kabel DC punjač</v>
      </c>
    </row>
    <row r="521" spans="1:2" x14ac:dyDescent="0.2">
      <c r="A521" s="21">
        <v>7064440</v>
      </c>
      <c r="B521" s="18" t="str">
        <f ca="1">IFERROR(__xludf.DUMMYFUNCTION("GOOGLETRANSLATE(C1517,""en"",""hr"")"),"Visokonaponski kabel AC vučni pogon")</f>
        <v>Visokonaponski kabel AC vučni pogon</v>
      </c>
    </row>
    <row r="522" spans="1:2" x14ac:dyDescent="0.2">
      <c r="A522" s="21">
        <v>7064457</v>
      </c>
      <c r="B522" s="18" t="str">
        <f ca="1">IFERROR(__xludf.DUMMYFUNCTION("GOOGLETRANSLATE(C24,""en"",""hr"")"),"Prekidač razine")</f>
        <v>Prekidač razine</v>
      </c>
    </row>
    <row r="523" spans="1:2" x14ac:dyDescent="0.2">
      <c r="A523" s="21">
        <v>7064460</v>
      </c>
      <c r="B523" s="18" t="str">
        <f ca="1">IFERROR(__xludf.DUMMYFUNCTION("GOOGLETRANSLATE(C1548,""en"",""hr"")"),"Dvostruka stezaljka za cijevi")</f>
        <v>Dvostruka stezaljka za cijevi</v>
      </c>
    </row>
    <row r="524" spans="1:2" x14ac:dyDescent="0.2">
      <c r="A524" s="21">
        <v>7064464</v>
      </c>
      <c r="B524" s="18" t="str">
        <f ca="1">IFERROR(__xludf.DUMMYFUNCTION("GOOGLETRANSLATE(C1549,""en"",""hr"")"),"Poklopna ploča")</f>
        <v>Poklopna ploča</v>
      </c>
    </row>
    <row r="525" spans="1:2" x14ac:dyDescent="0.2">
      <c r="A525" s="21">
        <v>7064468</v>
      </c>
      <c r="B525" s="18" t="str">
        <f ca="1">IFERROR(__xludf.DUMMYFUNCTION("GOOGLETRANSLATE(C1567,""en"",""hr"")"),"Supporto")</f>
        <v>Supporto</v>
      </c>
    </row>
    <row r="526" spans="1:2" x14ac:dyDescent="0.2">
      <c r="A526" s="21">
        <v>7064492</v>
      </c>
      <c r="B526" s="18" t="str">
        <f ca="1">IFERROR(__xludf.DUMMYFUNCTION("GOOGLETRANSLATE(C297,""en"",""hr"")"),"Držač Hidraulika Električni")</f>
        <v>Držač Hidraulika Električni</v>
      </c>
    </row>
    <row r="527" spans="1:2" x14ac:dyDescent="0.2">
      <c r="A527" s="21">
        <v>7064507</v>
      </c>
      <c r="B527" s="18" t="str">
        <f ca="1">IFERROR(__xludf.DUMMYFUNCTION("GOOGLETRANSLATE(C1538,""en"",""hr"")"),"Motor rezolvera kabelskog svežnja")</f>
        <v>Motor rezolvera kabelskog svežnja</v>
      </c>
    </row>
    <row r="528" spans="1:2" x14ac:dyDescent="0.2">
      <c r="A528" s="21">
        <v>7064508</v>
      </c>
      <c r="B528" s="18" t="str">
        <f ca="1">IFERROR(__xludf.DUMMYFUNCTION("GOOGLETRANSLATE(C1536,""en"",""hr"")"),"Električni motor")</f>
        <v>Električni motor</v>
      </c>
    </row>
    <row r="529" spans="1:2" x14ac:dyDescent="0.2">
      <c r="A529" s="21">
        <v>7064517</v>
      </c>
      <c r="B529" s="18" t="str">
        <f ca="1">IFERROR(__xludf.DUMMYFUNCTION("GOOGLETRANSLATE(C1216,""en"",""hr"")"),"Držač")</f>
        <v>Držač</v>
      </c>
    </row>
    <row r="530" spans="1:2" x14ac:dyDescent="0.2">
      <c r="A530" s="21">
        <v>7064527</v>
      </c>
      <c r="B530" s="18" t="str">
        <f ca="1">IFERROR(__xludf.DUMMYFUNCTION("GOOGLETRANSLATE(C1376,""en"",""hr"")"),"Držač")</f>
        <v>Držač</v>
      </c>
    </row>
    <row r="531" spans="1:2" x14ac:dyDescent="0.2">
      <c r="A531" s="21">
        <v>7064545</v>
      </c>
      <c r="B531" s="18" t="str">
        <f ca="1">IFERROR(__xludf.DUMMYFUNCTION("GOOGLETRANSLATE(C6276,""en"",""hr"")"),"Kabel (+CH-P)")</f>
        <v>Kabel (+CH-P)</v>
      </c>
    </row>
    <row r="532" spans="1:2" x14ac:dyDescent="0.2">
      <c r="A532" s="21">
        <v>7064572</v>
      </c>
      <c r="B532" s="18" t="str">
        <f ca="1">IFERROR(__xludf.DUMMYFUNCTION("GOOGLETRANSLATE(C1366,""en"",""hr"")"),"Straža")</f>
        <v>Straža</v>
      </c>
    </row>
    <row r="533" spans="1:2" x14ac:dyDescent="0.2">
      <c r="A533" s="21">
        <v>7064574</v>
      </c>
      <c r="B533" s="18" t="str">
        <f ca="1">IFERROR(__xludf.DUMMYFUNCTION("GOOGLETRANSLATE(C23,""en"",""hr"")"),"Gumena brtva")</f>
        <v>Gumena brtva</v>
      </c>
    </row>
    <row r="534" spans="1:2" x14ac:dyDescent="0.2">
      <c r="A534" s="21">
        <v>7064599</v>
      </c>
      <c r="B534" s="18" t="str">
        <f ca="1">IFERROR(__xludf.DUMMYFUNCTION("GOOGLETRANSLATE(C1097,""en"",""hr"")"),"Gumeni nosač")</f>
        <v>Gumeni nosač</v>
      </c>
    </row>
    <row r="535" spans="1:2" x14ac:dyDescent="0.2">
      <c r="A535" s="21">
        <v>7064601</v>
      </c>
      <c r="B535" s="18" t="str">
        <f ca="1">IFERROR(__xludf.DUMMYFUNCTION("GOOGLETRANSLATE(C1639,""en"",""hr"")"),"Oblikovano crijevo")</f>
        <v>Oblikovano crijevo</v>
      </c>
    </row>
    <row r="536" spans="1:2" x14ac:dyDescent="0.2">
      <c r="A536" s="21">
        <v>7064614</v>
      </c>
      <c r="B536" s="18" t="str">
        <f ca="1">IFERROR(__xludf.DUMMYFUNCTION("GOOGLETRANSLATE(C4598,""en"",""hr"")"),"Držač")</f>
        <v>Držač</v>
      </c>
    </row>
    <row r="537" spans="1:2" x14ac:dyDescent="0.2">
      <c r="A537" s="21">
        <v>7064706</v>
      </c>
      <c r="B537" s="18" t="str">
        <f ca="1">IFERROR(__xludf.DUMMYFUNCTION("GOOGLETRANSLATE(C1425,""en"",""hr"")"),"Rashladni vod ECL 1")</f>
        <v>Rashladni vod ECL 1</v>
      </c>
    </row>
    <row r="538" spans="1:2" x14ac:dyDescent="0.2">
      <c r="A538" s="21">
        <v>7064707</v>
      </c>
      <c r="B538" s="18" t="str">
        <f ca="1">IFERROR(__xludf.DUMMYFUNCTION("GOOGLETRANSLATE(C1426,""en"",""hr"")"),"Rashladni vod ECL 2")</f>
        <v>Rashladni vod ECL 2</v>
      </c>
    </row>
    <row r="539" spans="1:2" x14ac:dyDescent="0.2">
      <c r="A539" s="21">
        <v>7064708</v>
      </c>
      <c r="B539" s="18" t="str">
        <f ca="1">IFERROR(__xludf.DUMMYFUNCTION("GOOGLETRANSLATE(C1427,""en"",""hr"")"),"Rashladni vod ECL 3")</f>
        <v>Rashladni vod ECL 3</v>
      </c>
    </row>
    <row r="540" spans="1:2" x14ac:dyDescent="0.2">
      <c r="A540" s="21">
        <v>7064709</v>
      </c>
      <c r="B540" s="18" t="str">
        <f ca="1">IFERROR(__xludf.DUMMYFUNCTION("GOOGLETRANSLATE(C1428,""en"",""hr"")"),"Rashladni vod ECL 6")</f>
        <v>Rashladni vod ECL 6</v>
      </c>
    </row>
    <row r="541" spans="1:2" x14ac:dyDescent="0.2">
      <c r="A541" s="21">
        <v>7064710</v>
      </c>
      <c r="B541" s="18" t="str">
        <f ca="1">IFERROR(__xludf.DUMMYFUNCTION("GOOGLETRANSLATE(C1429,""en"",""hr"")"),"AdBlue dovodni paket crijeva PL ECL 5")</f>
        <v>AdBlue dovodni paket crijeva PL ECL 5</v>
      </c>
    </row>
    <row r="542" spans="1:2" x14ac:dyDescent="0.2">
      <c r="A542" s="21">
        <v>7064711</v>
      </c>
      <c r="B542" s="18" t="str">
        <f ca="1">IFERROR(__xludf.DUMMYFUNCTION("GOOGLETRANSLATE(C1430,""en"",""hr"")"),"AdBlue dovodni paket crijeva BL SL ECL 4")</f>
        <v>AdBlue dovodni paket crijeva BL SL ECL 4</v>
      </c>
    </row>
    <row r="543" spans="1:2" x14ac:dyDescent="0.2">
      <c r="A543" s="21">
        <v>7064728</v>
      </c>
      <c r="B543" s="18" t="str">
        <f ca="1">IFERROR(__xludf.DUMMYFUNCTION("GOOGLETRANSLATE(C3372,""en"",""hr"")"),"Stezaljka")</f>
        <v>Stezaljka</v>
      </c>
    </row>
    <row r="544" spans="1:2" x14ac:dyDescent="0.2">
      <c r="A544" s="21">
        <v>7064733</v>
      </c>
      <c r="B544" s="18" t="str">
        <f ca="1">IFERROR(__xludf.DUMMYFUNCTION("GOOGLETRANSLATE(C4997,""en"",""hr"")"),"Držač")</f>
        <v>Držač</v>
      </c>
    </row>
    <row r="545" spans="1:2" x14ac:dyDescent="0.2">
      <c r="A545" s="21">
        <v>7064789</v>
      </c>
      <c r="B545" s="18" t="str">
        <f ca="1">IFERROR(__xludf.DUMMYFUNCTION("GOOGLETRANSLATE(C6533,""en"",""hr"")"),"Grommet")</f>
        <v>Grommet</v>
      </c>
    </row>
    <row r="546" spans="1:2" x14ac:dyDescent="0.2">
      <c r="A546" s="21">
        <v>7064822</v>
      </c>
      <c r="B546" s="18" t="str">
        <f ca="1">IFERROR(__xludf.DUMMYFUNCTION("GOOGLETRANSLATE(C4882,""en"",""hr"")"),"Čahura")</f>
        <v>Čahura</v>
      </c>
    </row>
    <row r="547" spans="1:2" x14ac:dyDescent="0.2">
      <c r="A547" s="21">
        <v>7064823</v>
      </c>
      <c r="B547" s="18" t="str">
        <f ca="1">IFERROR(__xludf.DUMMYFUNCTION("GOOGLETRANSLATE(C4881,""en"",""hr"")"),"brava")</f>
        <v>brava</v>
      </c>
    </row>
    <row r="548" spans="1:2" x14ac:dyDescent="0.2">
      <c r="A548" s="21">
        <v>7064850</v>
      </c>
      <c r="B548" s="18" t="str">
        <f ca="1">IFERROR(__xludf.DUMMYFUNCTION("GOOGLETRANSLATE(C4657,""en"",""hr"")"),"Zaštita")</f>
        <v>Zaštita</v>
      </c>
    </row>
    <row r="549" spans="1:2" x14ac:dyDescent="0.2">
      <c r="A549" s="21">
        <v>7064852</v>
      </c>
      <c r="B549" s="18" t="str">
        <f ca="1">IFERROR(__xludf.DUMMYFUNCTION("GOOGLETRANSLATE(C5573,""en"",""hr"")"),"Adapter")</f>
        <v>Adapter</v>
      </c>
    </row>
    <row r="550" spans="1:2" x14ac:dyDescent="0.2">
      <c r="A550" s="21">
        <v>7064853</v>
      </c>
      <c r="B550" s="18" t="str">
        <f ca="1">IFERROR(__xludf.DUMMYFUNCTION("GOOGLETRANSLATE(C5572,""en"",""hr"")"),"Adapter")</f>
        <v>Adapter</v>
      </c>
    </row>
    <row r="551" spans="1:2" x14ac:dyDescent="0.2">
      <c r="A551" s="21">
        <v>7064856</v>
      </c>
      <c r="B551" s="18" t="str">
        <f ca="1">IFERROR(__xludf.DUMMYFUNCTION("GOOGLETRANSLATE(C338,""en"",""hr"")"),"Ploča 1,5 mm")</f>
        <v>Ploča 1,5 mm</v>
      </c>
    </row>
    <row r="552" spans="1:2" x14ac:dyDescent="0.2">
      <c r="A552" s="21">
        <v>7064888</v>
      </c>
      <c r="B552" s="18" t="str">
        <f ca="1">IFERROR(__xludf.DUMMYFUNCTION("GOOGLETRANSLATE(C1482,""en"",""hr"")"),"Rasterećenje naprezanja")</f>
        <v>Rasterećenje naprezanja</v>
      </c>
    </row>
    <row r="553" spans="1:2" x14ac:dyDescent="0.2">
      <c r="A553" s="21">
        <v>7064898</v>
      </c>
      <c r="B553" s="18" t="str">
        <f ca="1">IFERROR(__xludf.DUMMYFUNCTION("GOOGLETRANSLATE(C6312,""en"",""hr"")"),"Ožičenje (+PP-DV)")</f>
        <v>Ožičenje (+PP-DV)</v>
      </c>
    </row>
    <row r="554" spans="1:2" x14ac:dyDescent="0.2">
      <c r="A554" s="21">
        <v>7064899</v>
      </c>
      <c r="B554" s="18" t="str">
        <f ca="1">IFERROR(__xludf.DUMMYFUNCTION("GOOGLETRANSLATE(C963,""en"",""hr"")"),"Držač")</f>
        <v>Držač</v>
      </c>
    </row>
    <row r="555" spans="1:2" x14ac:dyDescent="0.2">
      <c r="A555" s="21">
        <v>7064905</v>
      </c>
      <c r="B555" s="18" t="str">
        <f ca="1">IFERROR(__xludf.DUMMYFUNCTION("GOOGLETRANSLATE(C3077,""en"",""hr"")"),"Usisni poklopac za usta")</f>
        <v>Usisni poklopac za usta</v>
      </c>
    </row>
    <row r="556" spans="1:2" x14ac:dyDescent="0.2">
      <c r="A556" s="21">
        <v>7064912</v>
      </c>
      <c r="B556" s="18" t="str">
        <f ca="1">IFERROR(__xludf.DUMMYFUNCTION("GOOGLETRANSLATE(C3489,""en"",""hr"")"),"Prekidač razine Plivajući prekidač Kpl.")</f>
        <v>Prekidač razine Plivajući prekidač Kpl.</v>
      </c>
    </row>
    <row r="557" spans="1:2" x14ac:dyDescent="0.2">
      <c r="A557" s="21">
        <v>7064913</v>
      </c>
      <c r="B557" s="18" t="str">
        <f ca="1">IFERROR(__xludf.DUMMYFUNCTION("GOOGLETRANSLATE(C4398,""en"",""hr"")"),"Čahura ležaja")</f>
        <v>Čahura ležaja</v>
      </c>
    </row>
    <row r="558" spans="1:2" x14ac:dyDescent="0.2">
      <c r="A558" s="21">
        <v>7064917</v>
      </c>
      <c r="B558" s="18" t="str">
        <f ca="1">IFERROR(__xludf.DUMMYFUNCTION("GOOGLETRANSLATE(C370,""en"",""hr"")"),"Držač")</f>
        <v>Držač</v>
      </c>
    </row>
    <row r="559" spans="1:2" x14ac:dyDescent="0.2">
      <c r="A559" s="21">
        <v>7064918</v>
      </c>
      <c r="B559" s="18" t="str">
        <f ca="1">IFERROR(__xludf.DUMMYFUNCTION("GOOGLETRANSLATE(C369,""en"",""hr"")"),"Držač")</f>
        <v>Držač</v>
      </c>
    </row>
    <row r="560" spans="1:2" x14ac:dyDescent="0.2">
      <c r="A560" s="21">
        <v>7064974</v>
      </c>
      <c r="B560" s="18" t="str">
        <f ca="1">IFERROR(__xludf.DUMMYFUNCTION("GOOGLETRANSLATE(C1485,""en"",""hr"")"),"Podrška alata")</f>
        <v>Podrška alata</v>
      </c>
    </row>
    <row r="561" spans="1:2" x14ac:dyDescent="0.2">
      <c r="A561" s="21">
        <v>7065007</v>
      </c>
      <c r="B561" s="18" t="str">
        <f ca="1">IFERROR(__xludf.DUMMYFUNCTION("GOOGLETRANSLATE(C6015,""en"",""hr"")"),"Visokotlačno crijevo")</f>
        <v>Visokotlačno crijevo</v>
      </c>
    </row>
    <row r="562" spans="1:2" x14ac:dyDescent="0.2">
      <c r="A562" s="21">
        <v>7065008</v>
      </c>
      <c r="B562" s="18" t="str">
        <f ca="1">IFERROR(__xludf.DUMMYFUNCTION("GOOGLETRANSLATE(C6017,""en"",""hr"")"),"Visokotlačno crijevo")</f>
        <v>Visokotlačno crijevo</v>
      </c>
    </row>
    <row r="563" spans="1:2" x14ac:dyDescent="0.2">
      <c r="A563" s="21">
        <v>7065009</v>
      </c>
      <c r="B563" s="18" t="str">
        <f ca="1">IFERROR(__xludf.DUMMYFUNCTION("GOOGLETRANSLATE(C6016,""en"",""hr"")"),"Visokotlačno crijevo")</f>
        <v>Visokotlačno crijevo</v>
      </c>
    </row>
    <row r="564" spans="1:2" x14ac:dyDescent="0.2">
      <c r="A564" s="21">
        <v>7065010</v>
      </c>
      <c r="B564" s="18" t="str">
        <f ca="1">IFERROR(__xludf.DUMMYFUNCTION("GOOGLETRANSLATE(C6018,""en"",""hr"")"),"Visokotlačno crijevo")</f>
        <v>Visokotlačno crijevo</v>
      </c>
    </row>
    <row r="565" spans="1:2" x14ac:dyDescent="0.2">
      <c r="A565" s="21">
        <v>7065023</v>
      </c>
      <c r="B565" s="18" t="str">
        <f ca="1">IFERROR(__xludf.DUMMYFUNCTION("GOOGLETRANSLATE(C5204,""en"",""hr"")"),"Motor brisača")</f>
        <v>Motor brisača</v>
      </c>
    </row>
    <row r="566" spans="1:2" x14ac:dyDescent="0.2">
      <c r="A566" s="21">
        <v>7065036</v>
      </c>
      <c r="B566" s="18" t="str">
        <f ca="1">IFERROR(__xludf.DUMMYFUNCTION("GOOGLETRANSLATE(C329,""en"",""hr"")"),"Držač crijeva na savijenom spoju Cpl.")</f>
        <v>Držač crijeva na savijenom spoju Cpl.</v>
      </c>
    </row>
    <row r="567" spans="1:2" x14ac:dyDescent="0.2">
      <c r="A567" s="21">
        <v>7065096</v>
      </c>
      <c r="B567" s="18" t="str">
        <f ca="1">IFERROR(__xludf.DUMMYFUNCTION("GOOGLETRANSLATE(C770,""en"",""hr"")"),"Zaštita")</f>
        <v>Zaštita</v>
      </c>
    </row>
    <row r="568" spans="1:2" x14ac:dyDescent="0.2">
      <c r="A568" s="21">
        <v>7065132</v>
      </c>
      <c r="B568" s="18" t="str">
        <f ca="1">IFERROR(__xludf.DUMMYFUNCTION("GOOGLETRANSLATE(C412,""en"",""hr"")"),"Gornji poklopac ležaja")</f>
        <v>Gornji poklopac ležaja</v>
      </c>
    </row>
    <row r="569" spans="1:2" x14ac:dyDescent="0.2">
      <c r="A569" s="21">
        <v>7065134</v>
      </c>
      <c r="B569" s="18" t="str">
        <f ca="1">IFERROR(__xludf.DUMMYFUNCTION("GOOGLETRANSLATE(C410,""en"",""hr"")"),"Kapa donjeg ležaja")</f>
        <v>Kapa donjeg ležaja</v>
      </c>
    </row>
    <row r="570" spans="1:2" x14ac:dyDescent="0.2">
      <c r="A570" s="21">
        <v>7065135</v>
      </c>
      <c r="B570" s="18" t="str">
        <f ca="1">IFERROR(__xludf.DUMMYFUNCTION("GOOGLETRANSLATE(C409,""en"",""hr"")"),"Donji ležaj ležaja")</f>
        <v>Donji ležaj ležaja</v>
      </c>
    </row>
    <row r="571" spans="1:2" x14ac:dyDescent="0.2">
      <c r="A571" s="21">
        <v>7065136</v>
      </c>
      <c r="B571" s="18" t="str">
        <f ca="1">IFERROR(__xludf.DUMMYFUNCTION("GOOGLETRANSLATE(C411,""en"",""hr"")"),"Gornji rukavac ležaja")</f>
        <v>Gornji rukavac ležaja</v>
      </c>
    </row>
    <row r="572" spans="1:2" x14ac:dyDescent="0.2">
      <c r="A572" s="21">
        <v>7065157</v>
      </c>
      <c r="B572" s="18" t="str">
        <f ca="1">IFERROR(__xludf.DUMMYFUNCTION("GOOGLETRANSLATE(C1486,""en"",""hr"")"),"Držač")</f>
        <v>Držač</v>
      </c>
    </row>
    <row r="573" spans="1:2" x14ac:dyDescent="0.2">
      <c r="A573" s="21">
        <v>7065160</v>
      </c>
      <c r="B573" s="18" t="str">
        <f ca="1">IFERROR(__xludf.DUMMYFUNCTION("GOOGLETRANSLATE(C39,""en"",""hr"")"),"LED stražnje svjetlo s konektorom")</f>
        <v>LED stražnje svjetlo s konektorom</v>
      </c>
    </row>
    <row r="574" spans="1:2" x14ac:dyDescent="0.2">
      <c r="A574" s="21">
        <v>7065239</v>
      </c>
      <c r="B574" s="18" t="str">
        <f ca="1">IFERROR(__xludf.DUMMYFUNCTION("GOOGLETRANSLATE(C1602,""en"",""hr"")"),"Držač")</f>
        <v>Držač</v>
      </c>
    </row>
    <row r="575" spans="1:2" x14ac:dyDescent="0.2">
      <c r="A575" s="21">
        <v>7065257</v>
      </c>
      <c r="B575" s="18" t="str">
        <f ca="1">IFERROR(__xludf.DUMMYFUNCTION("GOOGLETRANSLATE(C3106,""en"",""hr"")"),"Montažna traka za gumene šarke")</f>
        <v>Montažna traka za gumene šarke</v>
      </c>
    </row>
    <row r="576" spans="1:2" x14ac:dyDescent="0.2">
      <c r="A576" s="21">
        <v>7065264</v>
      </c>
      <c r="B576" s="18" t="str">
        <f ca="1">IFERROR(__xludf.DUMMYFUNCTION("GOOGLETRANSLATE(C5640,""en"",""hr"")"),"Držač")</f>
        <v>Držač</v>
      </c>
    </row>
    <row r="577" spans="1:2" x14ac:dyDescent="0.2">
      <c r="A577" s="21">
        <v>7065266</v>
      </c>
      <c r="B577" s="18" t="str">
        <f ca="1">IFERROR(__xludf.DUMMYFUNCTION("GOOGLETRANSLATE(C6496,""en"",""hr"")"),"Držač")</f>
        <v>Držač</v>
      </c>
    </row>
    <row r="578" spans="1:2" x14ac:dyDescent="0.2">
      <c r="A578" s="21">
        <v>7065336</v>
      </c>
      <c r="B578" s="18" t="str">
        <f ca="1">IFERROR(__xludf.DUMMYFUNCTION("GOOGLETRANSLATE(C6495,""en"",""hr"")"),"Kut")</f>
        <v>Kut</v>
      </c>
    </row>
    <row r="579" spans="1:2" x14ac:dyDescent="0.2">
      <c r="A579" s="21">
        <v>7065355</v>
      </c>
      <c r="B579" s="18" t="str">
        <f ca="1">IFERROR(__xludf.DUMMYFUNCTION("GOOGLETRANSLATE(C6022,""en"",""hr"")"),"Visokotlačno crijevo")</f>
        <v>Visokotlačno crijevo</v>
      </c>
    </row>
    <row r="580" spans="1:2" x14ac:dyDescent="0.2">
      <c r="A580" s="21">
        <v>7065356</v>
      </c>
      <c r="B580" s="18" t="str">
        <f ca="1">IFERROR(__xludf.DUMMYFUNCTION("GOOGLETRANSLATE(C6019,""en"",""hr"")"),"Visokotlačno crijevo")</f>
        <v>Visokotlačno crijevo</v>
      </c>
    </row>
    <row r="581" spans="1:2" x14ac:dyDescent="0.2">
      <c r="A581" s="21">
        <v>7065357</v>
      </c>
      <c r="B581" s="18" t="str">
        <f ca="1">IFERROR(__xludf.DUMMYFUNCTION("GOOGLETRANSLATE(C6021,""en"",""hr"")"),"Visokotlačno crijevo")</f>
        <v>Visokotlačno crijevo</v>
      </c>
    </row>
    <row r="582" spans="1:2" x14ac:dyDescent="0.2">
      <c r="A582" s="21">
        <v>7065358</v>
      </c>
      <c r="B582" s="18" t="str">
        <f ca="1">IFERROR(__xludf.DUMMYFUNCTION("GOOGLETRANSLATE(C6020,""en"",""hr"")"),"Visokotlačno crijevo")</f>
        <v>Visokotlačno crijevo</v>
      </c>
    </row>
    <row r="583" spans="1:2" x14ac:dyDescent="0.2">
      <c r="A583" s="21">
        <v>7065414</v>
      </c>
      <c r="B583" s="18" t="str">
        <f ca="1">IFERROR(__xludf.DUMMYFUNCTION("GOOGLETRANSLATE(C5190,""en"",""hr"")"),"Torba za dijelove")</f>
        <v>Torba za dijelove</v>
      </c>
    </row>
    <row r="584" spans="1:2" x14ac:dyDescent="0.2">
      <c r="A584" s="21">
        <v>7065446</v>
      </c>
      <c r="B584" s="18" t="str">
        <f ca="1">IFERROR(__xludf.DUMMYFUNCTION("GOOGLETRANSLATE(C560,""en"",""hr"")"),"Crijevo")</f>
        <v>Crijevo</v>
      </c>
    </row>
    <row r="585" spans="1:2" x14ac:dyDescent="0.2">
      <c r="A585" s="21">
        <v>7065447</v>
      </c>
      <c r="B585" s="18" t="str">
        <f ca="1">IFERROR(__xludf.DUMMYFUNCTION("GOOGLETRANSLATE(C1552,""en"",""hr"")"),"Držač")</f>
        <v>Držač</v>
      </c>
    </row>
    <row r="586" spans="1:2" x14ac:dyDescent="0.2">
      <c r="A586" s="21">
        <v>7065458</v>
      </c>
      <c r="B586" s="18" t="str">
        <f ca="1">IFERROR(__xludf.DUMMYFUNCTION("GOOGLETRANSLATE(C379,""en"",""hr"")"),"Kotač 255/65 R16, Goodrich")</f>
        <v>Kotač 255/65 R16, Goodrich</v>
      </c>
    </row>
    <row r="587" spans="1:2" x14ac:dyDescent="0.2">
      <c r="A587" s="21">
        <v>7065467</v>
      </c>
      <c r="B587" s="18" t="str">
        <f ca="1">IFERROR(__xludf.DUMMYFUNCTION("GOOGLETRANSLATE(C6332,""en"",""hr"")"),"Pokrivni lim")</f>
        <v>Pokrivni lim</v>
      </c>
    </row>
    <row r="588" spans="1:2" x14ac:dyDescent="0.2">
      <c r="A588" s="21">
        <v>7065471</v>
      </c>
      <c r="B588" s="18" t="str">
        <f ca="1">IFERROR(__xludf.DUMMYFUNCTION("GOOGLETRANSLATE(C6336,""en"",""hr"")"),"brtva")</f>
        <v>brtva</v>
      </c>
    </row>
    <row r="589" spans="1:2" x14ac:dyDescent="0.2">
      <c r="A589" s="21">
        <v>7065475</v>
      </c>
      <c r="B589" s="18" t="str">
        <f ca="1">IFERROR(__xludf.DUMMYFUNCTION("GOOGLETRANSLATE(C5806,""en"",""hr"")"),"brtva")</f>
        <v>brtva</v>
      </c>
    </row>
    <row r="590" spans="1:2" x14ac:dyDescent="0.2">
      <c r="A590" s="21">
        <v>7065488</v>
      </c>
      <c r="B590" s="18" t="str">
        <f ca="1">IFERROR(__xludf.DUMMYFUNCTION("GOOGLETRANSLATE(C1018,""en"",""hr"")"),"Držač")</f>
        <v>Držač</v>
      </c>
    </row>
    <row r="591" spans="1:2" x14ac:dyDescent="0.2">
      <c r="A591" s="21">
        <v>7065496</v>
      </c>
      <c r="B591" s="18" t="str">
        <f ca="1">IFERROR(__xludf.DUMMYFUNCTION("GOOGLETRANSLATE(C1559,""en"",""hr"")"),"Držač")</f>
        <v>Držač</v>
      </c>
    </row>
    <row r="592" spans="1:2" x14ac:dyDescent="0.2">
      <c r="A592" s="21">
        <v>7065498</v>
      </c>
      <c r="B592" s="18" t="str">
        <f ca="1">IFERROR(__xludf.DUMMYFUNCTION("GOOGLETRANSLATE(C998,""en"",""hr"")"),"Montažna ploča")</f>
        <v>Montažna ploča</v>
      </c>
    </row>
    <row r="593" spans="1:2" x14ac:dyDescent="0.2">
      <c r="A593" s="21">
        <v>7065499</v>
      </c>
      <c r="B593" s="18" t="str">
        <f ca="1">IFERROR(__xludf.DUMMYFUNCTION("GOOGLETRANSLATE(C1002,""en"",""hr"")"),"Poklopna ploča")</f>
        <v>Poklopna ploča</v>
      </c>
    </row>
    <row r="594" spans="1:2" x14ac:dyDescent="0.2">
      <c r="A594" s="21">
        <v>7065501</v>
      </c>
      <c r="B594" s="18" t="str">
        <f ca="1">IFERROR(__xludf.DUMMYFUNCTION("GOOGLETRANSLATE(C4991,""en"",""hr"")"),"grijano vjetrobransko staklo")</f>
        <v>grijano vjetrobransko staklo</v>
      </c>
    </row>
    <row r="595" spans="1:2" x14ac:dyDescent="0.2">
      <c r="A595" s="21">
        <v>7065504</v>
      </c>
      <c r="B595" s="18" t="str">
        <f ca="1">IFERROR(__xludf.DUMMYFUNCTION("GOOGLETRANSLATE(C6024,""en"",""hr"")"),"Hidraulično crijevo")</f>
        <v>Hidraulično crijevo</v>
      </c>
    </row>
    <row r="596" spans="1:2" x14ac:dyDescent="0.2">
      <c r="A596" s="21">
        <v>7065521</v>
      </c>
      <c r="B596" s="18" t="str">
        <f ca="1">IFERROR(__xludf.DUMMYFUNCTION("GOOGLETRANSLATE(C5952,""en"",""hr"")"),"Crijevo")</f>
        <v>Crijevo</v>
      </c>
    </row>
    <row r="597" spans="1:2" x14ac:dyDescent="0.2">
      <c r="A597" s="21">
        <v>7065542</v>
      </c>
      <c r="B597" s="18" t="str">
        <f ca="1">IFERROR(__xludf.DUMMYFUNCTION("GOOGLETRANSLATE(C5166,""en"",""hr"")"),"Oplata")</f>
        <v>Oplata</v>
      </c>
    </row>
    <row r="598" spans="1:2" x14ac:dyDescent="0.2">
      <c r="A598" s="21">
        <v>7065547</v>
      </c>
      <c r="B598" s="18" t="str">
        <f ca="1">IFERROR(__xludf.DUMMYFUNCTION("GOOGLETRANSLATE(C1556,""en"",""hr"")"),"Držač")</f>
        <v>Držač</v>
      </c>
    </row>
    <row r="599" spans="1:2" x14ac:dyDescent="0.2">
      <c r="A599" s="21">
        <v>7065575</v>
      </c>
      <c r="B599" s="18" t="str">
        <f ca="1">IFERROR(__xludf.DUMMYFUNCTION("GOOGLETRANSLATE(C3351,""en"",""hr"")"),"Držač")</f>
        <v>Držač</v>
      </c>
    </row>
    <row r="600" spans="1:2" x14ac:dyDescent="0.2">
      <c r="A600" s="21">
        <v>7065591</v>
      </c>
      <c r="B600" s="18" t="str">
        <f ca="1">IFERROR(__xludf.DUMMYFUNCTION("GOOGLETRANSLATE(C3350,""en"",""hr"")"),"Držač")</f>
        <v>Držač</v>
      </c>
    </row>
    <row r="601" spans="1:2" x14ac:dyDescent="0.2">
      <c r="A601" s="21">
        <v>7065618</v>
      </c>
      <c r="B601" s="18" t="str">
        <f ca="1">IFERROR(__xludf.DUMMYFUNCTION("GOOGLETRANSLATE(C1572,""en"",""hr"")"),"Rasterećenje naprezanja")</f>
        <v>Rasterećenje naprezanja</v>
      </c>
    </row>
    <row r="602" spans="1:2" x14ac:dyDescent="0.2">
      <c r="A602" s="21">
        <v>7065619</v>
      </c>
      <c r="B602" s="18" t="str">
        <f ca="1">IFERROR(__xludf.DUMMYFUNCTION("GOOGLETRANSLATE(C3352,""en"",""hr"")"),"Okvir")</f>
        <v>Okvir</v>
      </c>
    </row>
    <row r="603" spans="1:2" x14ac:dyDescent="0.2">
      <c r="A603" s="21">
        <v>7065629</v>
      </c>
      <c r="B603" s="18" t="str">
        <f ca="1">IFERROR(__xludf.DUMMYFUNCTION("GOOGLETRANSLATE(C561,""en"",""hr"")"),"Akumulator")</f>
        <v>Akumulator</v>
      </c>
    </row>
    <row r="604" spans="1:2" x14ac:dyDescent="0.2">
      <c r="A604" s="21">
        <v>7065651</v>
      </c>
      <c r="B604" s="18" t="str">
        <f ca="1">IFERROR(__xludf.DUMMYFUNCTION("GOOGLETRANSLATE(C4597,""en"",""hr"")"),"Hidraulično crijevo")</f>
        <v>Hidraulično crijevo</v>
      </c>
    </row>
    <row r="605" spans="1:2" x14ac:dyDescent="0.2">
      <c r="A605" s="21">
        <v>7065661</v>
      </c>
      <c r="B605" s="18" t="str">
        <f ca="1">IFERROR(__xludf.DUMMYFUNCTION("GOOGLETRANSLATE(C4111,""en"",""hr"")"),"Crijevo")</f>
        <v>Crijevo</v>
      </c>
    </row>
    <row r="606" spans="1:2" x14ac:dyDescent="0.2">
      <c r="A606" s="21">
        <v>7065662</v>
      </c>
      <c r="B606" s="18" t="str">
        <f ca="1">IFERROR(__xludf.DUMMYFUNCTION("GOOGLETRANSLATE(C4110,""en"",""hr"")"),"Crijevo")</f>
        <v>Crijevo</v>
      </c>
    </row>
    <row r="607" spans="1:2" x14ac:dyDescent="0.2">
      <c r="A607" s="21">
        <v>7065667</v>
      </c>
      <c r="B607" s="18" t="str">
        <f ca="1">IFERROR(__xludf.DUMMYFUNCTION("GOOGLETRANSLATE(C3941,""en"",""hr"")"),"Cijev")</f>
        <v>Cijev</v>
      </c>
    </row>
    <row r="608" spans="1:2" x14ac:dyDescent="0.2">
      <c r="A608" s="21">
        <v>7065689</v>
      </c>
      <c r="B608" s="18" t="str">
        <f ca="1">IFERROR(__xludf.DUMMYFUNCTION("GOOGLETRANSLATE(C4607,""en"",""hr"")"),"Crijevo")</f>
        <v>Crijevo</v>
      </c>
    </row>
    <row r="609" spans="1:2" x14ac:dyDescent="0.2">
      <c r="A609" s="21">
        <v>7065760</v>
      </c>
      <c r="B609" s="18" t="str">
        <f ca="1">IFERROR(__xludf.DUMMYFUNCTION("GOOGLETRANSLATE(C6542,""en"",""hr"")"),"Držač")</f>
        <v>Držač</v>
      </c>
    </row>
    <row r="610" spans="1:2" x14ac:dyDescent="0.2">
      <c r="A610" s="21">
        <v>7065764</v>
      </c>
      <c r="B610" s="18" t="str">
        <f ca="1">IFERROR(__xludf.DUMMYFUNCTION("GOOGLETRANSLATE(C3936,""en"",""hr"")"),"Potporna ploča")</f>
        <v>Potporna ploča</v>
      </c>
    </row>
    <row r="611" spans="1:2" x14ac:dyDescent="0.2">
      <c r="A611" s="21">
        <v>7065765</v>
      </c>
      <c r="B611" s="18" t="str">
        <f ca="1">IFERROR(__xludf.DUMMYFUNCTION("GOOGLETRANSLATE(C4118,""en"",""hr"")"),"Držač")</f>
        <v>Držač</v>
      </c>
    </row>
    <row r="612" spans="1:2" x14ac:dyDescent="0.2">
      <c r="A612" s="21">
        <v>7065800</v>
      </c>
      <c r="B612" s="18" t="str">
        <f ca="1">IFERROR(__xludf.DUMMYFUNCTION("GOOGLETRANSLATE(C3370,""en"",""hr"")"),"Zalutajuće crijevo")</f>
        <v>Zalutajuće crijevo</v>
      </c>
    </row>
    <row r="613" spans="1:2" x14ac:dyDescent="0.2">
      <c r="A613" s="21">
        <v>7065806</v>
      </c>
      <c r="B613" s="18" t="str">
        <f ca="1">IFERROR(__xludf.DUMMYFUNCTION("GOOGLETRANSLATE(C3940,""en"",""hr"")"),"Crijevo")</f>
        <v>Crijevo</v>
      </c>
    </row>
    <row r="614" spans="1:2" x14ac:dyDescent="0.2">
      <c r="A614" s="21">
        <v>7065807</v>
      </c>
      <c r="B614" s="18" t="str">
        <f ca="1">IFERROR(__xludf.DUMMYFUNCTION("GOOGLETRANSLATE(C3939,""en"",""hr"")"),"Crijevo")</f>
        <v>Crijevo</v>
      </c>
    </row>
    <row r="615" spans="1:2" x14ac:dyDescent="0.2">
      <c r="A615" s="21">
        <v>7065863</v>
      </c>
      <c r="B615" s="18" t="str">
        <f ca="1">IFERROR(__xludf.DUMMYFUNCTION("GOOGLETRANSLATE(C6010,""en"",""hr"")"),"Ploča za pričvršćivanje")</f>
        <v>Ploča za pričvršćivanje</v>
      </c>
    </row>
    <row r="616" spans="1:2" x14ac:dyDescent="0.2">
      <c r="A616" s="21">
        <v>7065865</v>
      </c>
      <c r="B616" s="18" t="str">
        <f ca="1">IFERROR(__xludf.DUMMYFUNCTION("GOOGLETRANSLATE(C3094,""en"",""hr"")"),"Usisna usta pokrovne ploče")</f>
        <v>Usisna usta pokrovne ploče</v>
      </c>
    </row>
    <row r="617" spans="1:2" x14ac:dyDescent="0.2">
      <c r="A617" s="21">
        <v>7065872</v>
      </c>
      <c r="B617" s="18" t="str">
        <f ca="1">IFERROR(__xludf.DUMMYFUNCTION("GOOGLETRANSLATE(C941,""en"",""hr"")"),"Toplinski štit")</f>
        <v>Toplinski štit</v>
      </c>
    </row>
    <row r="618" spans="1:2" x14ac:dyDescent="0.2">
      <c r="A618" s="21">
        <v>7065886</v>
      </c>
      <c r="B618" s="18" t="str">
        <f ca="1">IFERROR(__xludf.DUMMYFUNCTION("GOOGLETRANSLATE(C3937,""en"",""hr"")"),"Crijevo")</f>
        <v>Crijevo</v>
      </c>
    </row>
    <row r="619" spans="1:2" x14ac:dyDescent="0.2">
      <c r="A619" s="21">
        <v>7065922</v>
      </c>
      <c r="B619" s="18" t="str">
        <f ca="1">IFERROR(__xludf.DUMMYFUNCTION("GOOGLETRANSLATE(C4589,""en"",""hr"")"),"Ručna pumpa: poluga s ručkom")</f>
        <v>Ručna pumpa: poluga s ručkom</v>
      </c>
    </row>
    <row r="620" spans="1:2" x14ac:dyDescent="0.2">
      <c r="A620" s="21">
        <v>7065948</v>
      </c>
      <c r="B620" s="18" t="str">
        <f ca="1">IFERROR(__xludf.DUMMYFUNCTION("GOOGLETRANSLATE(C291,""en"",""hr"")"),"Pristup gazištu")</f>
        <v>Pristup gazištu</v>
      </c>
    </row>
    <row r="621" spans="1:2" x14ac:dyDescent="0.2">
      <c r="A621" s="21">
        <v>7065974</v>
      </c>
      <c r="B621" s="18" t="str">
        <f ca="1">IFERROR(__xludf.DUMMYFUNCTION("GOOGLETRANSLATE(C5521,""en"",""hr"")"),"Zaštita")</f>
        <v>Zaštita</v>
      </c>
    </row>
    <row r="622" spans="1:2" x14ac:dyDescent="0.2">
      <c r="A622" s="21">
        <v>7065975</v>
      </c>
      <c r="B622" s="18" t="str">
        <f ca="1">IFERROR(__xludf.DUMMYFUNCTION("GOOGLETRANSLATE(C5545,""en"",""hr"")"),"Zaštita")</f>
        <v>Zaštita</v>
      </c>
    </row>
    <row r="623" spans="1:2" x14ac:dyDescent="0.2">
      <c r="A623" s="21">
        <v>7066061</v>
      </c>
      <c r="B623" s="18" t="str">
        <f ca="1">IFERROR(__xludf.DUMMYFUNCTION("GOOGLETRANSLATE(C970,""en"",""hr"")"),"Poklopac")</f>
        <v>Poklopac</v>
      </c>
    </row>
    <row r="624" spans="1:2" x14ac:dyDescent="0.2">
      <c r="A624" s="21">
        <v>7066063</v>
      </c>
      <c r="B624" s="18" t="str">
        <f ca="1">IFERROR(__xludf.DUMMYFUNCTION("GOOGLETRANSLATE(C971,""en"",""hr"")"),"Držač")</f>
        <v>Držač</v>
      </c>
    </row>
    <row r="625" spans="1:2" x14ac:dyDescent="0.2">
      <c r="A625" s="21">
        <v>7066065</v>
      </c>
      <c r="B625" s="18" t="str">
        <f ca="1">IFERROR(__xludf.DUMMYFUNCTION("GOOGLETRANSLATE(C535,""en"",""hr"")"),"Ventil ručne kočnice")</f>
        <v>Ventil ručne kočnice</v>
      </c>
    </row>
    <row r="626" spans="1:2" x14ac:dyDescent="0.2">
      <c r="A626" s="21">
        <v>7066082</v>
      </c>
      <c r="B626" s="18" t="str">
        <f ca="1">IFERROR(__xludf.DUMMYFUNCTION("GOOGLETRANSLATE(C887,""en"",""hr"")"),"Metalni lim")</f>
        <v>Metalni lim</v>
      </c>
    </row>
    <row r="627" spans="1:2" x14ac:dyDescent="0.2">
      <c r="A627" s="21">
        <v>7066112</v>
      </c>
      <c r="B627" s="18" t="str">
        <f ca="1">IFERROR(__xludf.DUMMYFUNCTION("GOOGLETRANSLATE(C4660,""en"",""hr"")"),"brava")</f>
        <v>brava</v>
      </c>
    </row>
    <row r="628" spans="1:2" x14ac:dyDescent="0.2">
      <c r="A628" s="21">
        <v>7066115</v>
      </c>
      <c r="B628" s="18" t="str">
        <f ca="1">IFERROR(__xludf.DUMMYFUNCTION("GOOGLETRANSLATE(C4683,""en"",""hr"")"),"Disk udaljenosti")</f>
        <v>Disk udaljenosti</v>
      </c>
    </row>
    <row r="629" spans="1:2" x14ac:dyDescent="0.2">
      <c r="A629" s="21">
        <v>7066121</v>
      </c>
      <c r="B629" s="18" t="str">
        <f ca="1">IFERROR(__xludf.DUMMYFUNCTION("GOOGLETRANSLATE(C6036,""en"",""hr"")"),"Cijev")</f>
        <v>Cijev</v>
      </c>
    </row>
    <row r="630" spans="1:2" x14ac:dyDescent="0.2">
      <c r="A630" s="21">
        <v>7066124</v>
      </c>
      <c r="B630" s="18" t="str">
        <f ca="1">IFERROR(__xludf.DUMMYFUNCTION("GOOGLETRANSLATE(C1202,""en"",""hr"")"),"Poklopac")</f>
        <v>Poklopac</v>
      </c>
    </row>
    <row r="631" spans="1:2" x14ac:dyDescent="0.2">
      <c r="A631" s="21">
        <v>7066127</v>
      </c>
      <c r="B631" s="18" t="str">
        <f ca="1">IFERROR(__xludf.DUMMYFUNCTION("GOOGLETRANSLATE(C1199,""en"",""hr"")"),"Držač")</f>
        <v>Držač</v>
      </c>
    </row>
    <row r="632" spans="1:2" x14ac:dyDescent="0.2">
      <c r="A632" s="21">
        <v>7066134</v>
      </c>
      <c r="B632" s="18" t="str">
        <f ca="1">IFERROR(__xludf.DUMMYFUNCTION("GOOGLETRANSLATE(C5427,""en"",""hr"")"),"Naslon za ruke")</f>
        <v>Naslon za ruke</v>
      </c>
    </row>
    <row r="633" spans="1:2" x14ac:dyDescent="0.2">
      <c r="A633" s="21">
        <v>7066136</v>
      </c>
      <c r="B633" s="18" t="str">
        <f ca="1">IFERROR(__xludf.DUMMYFUNCTION("GOOGLETRANSLATE(C5443,""en"",""hr"")"),"Naslon za glavu")</f>
        <v>Naslon za glavu</v>
      </c>
    </row>
    <row r="634" spans="1:2" x14ac:dyDescent="0.2">
      <c r="A634" s="21">
        <v>7066157</v>
      </c>
      <c r="B634" s="18" t="str">
        <f ca="1">IFERROR(__xludf.DUMMYFUNCTION("GOOGLETRANSLATE(C5278,""en"",""hr"")"),"Supporto")</f>
        <v>Supporto</v>
      </c>
    </row>
    <row r="635" spans="1:2" x14ac:dyDescent="0.2">
      <c r="A635" s="21">
        <v>7066160</v>
      </c>
      <c r="B635" s="18" t="str">
        <f ca="1">IFERROR(__xludf.DUMMYFUNCTION("GOOGLETRANSLATE(C5432,""en"",""hr"")"),"Tračnice")</f>
        <v>Tračnice</v>
      </c>
    </row>
    <row r="636" spans="1:2" x14ac:dyDescent="0.2">
      <c r="A636" s="21">
        <v>7066161</v>
      </c>
      <c r="B636" s="18" t="str">
        <f ca="1">IFERROR(__xludf.DUMMYFUNCTION("GOOGLETRANSLATE(C5433,""en"",""hr"")"),"Pneumatski set opruga")</f>
        <v>Pneumatski set opruga</v>
      </c>
    </row>
    <row r="637" spans="1:2" x14ac:dyDescent="0.2">
      <c r="A637" s="21">
        <v>7066163</v>
      </c>
      <c r="B637" s="18" t="str">
        <f ca="1">IFERROR(__xludf.DUMMYFUNCTION("GOOGLETRANSLATE(C5431,""en"",""hr"")"),"Set opruga mehanički")</f>
        <v>Set opruga mehanički</v>
      </c>
    </row>
    <row r="638" spans="1:2" x14ac:dyDescent="0.2">
      <c r="A638" s="21">
        <v>7066166</v>
      </c>
      <c r="B638" s="18" t="str">
        <f ca="1">IFERROR(__xludf.DUMMYFUNCTION("GOOGLETRANSLATE(C5439,""en"",""hr"")"),"Suvozačevo sjedalo")</f>
        <v>Suvozačevo sjedalo</v>
      </c>
    </row>
    <row r="639" spans="1:2" x14ac:dyDescent="0.2">
      <c r="A639" s="21">
        <v>7066168</v>
      </c>
      <c r="B639" s="18" t="str">
        <f ca="1">IFERROR(__xludf.DUMMYFUNCTION("GOOGLETRANSLATE(C5279,""en"",""hr"")"),"Supporto")</f>
        <v>Supporto</v>
      </c>
    </row>
    <row r="640" spans="1:2" x14ac:dyDescent="0.2">
      <c r="A640" s="21">
        <v>7066173</v>
      </c>
      <c r="B640" s="18" t="str">
        <f ca="1">IFERROR(__xludf.DUMMYFUNCTION("GOOGLETRANSLATE(C801,""en"",""hr"")"),"Držač")</f>
        <v>Držač</v>
      </c>
    </row>
    <row r="641" spans="1:2" x14ac:dyDescent="0.2">
      <c r="A641" s="21">
        <v>7066195</v>
      </c>
      <c r="B641" s="18" t="str">
        <f ca="1">IFERROR(__xludf.DUMMYFUNCTION("GOOGLETRANSLATE(C5436,""en"",""hr"")"),"Okvir sjedala za suvozačko sjedalo")</f>
        <v>Okvir sjedala za suvozačko sjedalo</v>
      </c>
    </row>
    <row r="642" spans="1:2" x14ac:dyDescent="0.2">
      <c r="A642" s="21">
        <v>7066208</v>
      </c>
      <c r="B642" s="18" t="str">
        <f ca="1">IFERROR(__xludf.DUMMYFUNCTION("GOOGLETRANSLATE(C6082,""en"",""hr"")"),"Hidraulično crijevo")</f>
        <v>Hidraulično crijevo</v>
      </c>
    </row>
    <row r="643" spans="1:2" x14ac:dyDescent="0.2">
      <c r="A643" s="21">
        <v>7066213</v>
      </c>
      <c r="B643" s="18" t="str">
        <f ca="1">IFERROR(__xludf.DUMMYFUNCTION("GOOGLETRANSLATE(C5151,""en"",""hr"")"),"Zaštita")</f>
        <v>Zaštita</v>
      </c>
    </row>
    <row r="644" spans="1:2" x14ac:dyDescent="0.2">
      <c r="A644" s="21">
        <v>7066215</v>
      </c>
      <c r="B644" s="18" t="str">
        <f ca="1">IFERROR(__xludf.DUMMYFUNCTION("GOOGLETRANSLATE(C6083,""en"",""hr"")"),"Hidraulično crijevo")</f>
        <v>Hidraulično crijevo</v>
      </c>
    </row>
    <row r="645" spans="1:2" x14ac:dyDescent="0.2">
      <c r="A645" s="21">
        <v>7066216</v>
      </c>
      <c r="B645" s="18" t="str">
        <f ca="1">IFERROR(__xludf.DUMMYFUNCTION("GOOGLETRANSLATE(C5153,""en"",""hr"")"),"Rešetka")</f>
        <v>Rešetka</v>
      </c>
    </row>
    <row r="646" spans="1:2" x14ac:dyDescent="0.2">
      <c r="A646" s="21">
        <v>7066231</v>
      </c>
      <c r="B646" s="18" t="str">
        <f ca="1">IFERROR(__xludf.DUMMYFUNCTION("GOOGLETRANSLATE(C832,""en"",""hr"")"),"Metalni lim")</f>
        <v>Metalni lim</v>
      </c>
    </row>
    <row r="647" spans="1:2" x14ac:dyDescent="0.2">
      <c r="A647" s="21">
        <v>7066301</v>
      </c>
      <c r="B647" s="18" t="str">
        <f ca="1">IFERROR(__xludf.DUMMYFUNCTION("GOOGLETRANSLATE(C4717,""en"",""hr"")"),"Korice, bijele, ljepljene")</f>
        <v>Korice, bijele, ljepljene</v>
      </c>
    </row>
    <row r="648" spans="1:2" x14ac:dyDescent="0.2">
      <c r="A648" s="21">
        <v>7066347</v>
      </c>
      <c r="B648" s="18" t="str">
        <f ca="1">IFERROR(__xludf.DUMMYFUNCTION("GOOGLETRANSLATE(C656,""en"",""hr"")"),"Držač ispod")</f>
        <v>Držač ispod</v>
      </c>
    </row>
    <row r="649" spans="1:2" x14ac:dyDescent="0.2">
      <c r="A649" s="21">
        <v>7066360</v>
      </c>
      <c r="B649" s="18" t="str">
        <f ca="1">IFERROR(__xludf.DUMMYFUNCTION("GOOGLETRANSLATE(C5290,""en"",""hr"")"),"Grub Srew")</f>
        <v>Grub Srew</v>
      </c>
    </row>
    <row r="650" spans="1:2" x14ac:dyDescent="0.2">
      <c r="A650" s="21">
        <v>7066399</v>
      </c>
      <c r="B650" s="18" t="str">
        <f ca="1">IFERROR(__xludf.DUMMYFUNCTION("GOOGLETRANSLATE(C6035,""en"",""hr"")"),"Hidraulično crijevo")</f>
        <v>Hidraulično crijevo</v>
      </c>
    </row>
    <row r="651" spans="1:2" x14ac:dyDescent="0.2">
      <c r="A651" s="21">
        <v>7066401</v>
      </c>
      <c r="B651" s="18" t="str">
        <f ca="1">IFERROR(__xludf.DUMMYFUNCTION("GOOGLETRANSLATE(C6038,""en"",""hr"")"),"Hidraulično crijevo")</f>
        <v>Hidraulično crijevo</v>
      </c>
    </row>
    <row r="652" spans="1:2" x14ac:dyDescent="0.2">
      <c r="A652" s="21">
        <v>7066429</v>
      </c>
      <c r="B652" s="18" t="str">
        <f ca="1">IFERROR(__xludf.DUMMYFUNCTION("GOOGLETRANSLATE(C3772,""en"",""hr"")"),"Supporto")</f>
        <v>Supporto</v>
      </c>
    </row>
    <row r="653" spans="1:2" x14ac:dyDescent="0.2">
      <c r="A653" s="21">
        <v>7066448</v>
      </c>
      <c r="B653" s="18" t="str">
        <f ca="1">IFERROR(__xludf.DUMMYFUNCTION("GOOGLETRANSLATE(C64,""en"",""hr"")"),"Amortizer")</f>
        <v>Amortizer</v>
      </c>
    </row>
    <row r="654" spans="1:2" x14ac:dyDescent="0.2">
      <c r="A654" s="21">
        <v>7066454</v>
      </c>
      <c r="B654" s="18" t="str">
        <f ca="1">IFERROR(__xludf.DUMMYFUNCTION("GOOGLETRANSLATE(C4956,""en"",""hr"")"),"Zaštita lijevo")</f>
        <v>Zaštita lijevo</v>
      </c>
    </row>
    <row r="655" spans="1:2" x14ac:dyDescent="0.2">
      <c r="A655" s="21">
        <v>7066455</v>
      </c>
      <c r="B655" s="18" t="str">
        <f ca="1">IFERROR(__xludf.DUMMYFUNCTION("GOOGLETRANSLATE(C4953,""en"",""hr"")"),"Zaštita na desnoj strani")</f>
        <v>Zaštita na desnoj strani</v>
      </c>
    </row>
    <row r="656" spans="1:2" x14ac:dyDescent="0.2">
      <c r="A656" s="21">
        <v>7066462</v>
      </c>
      <c r="B656" s="18" t="str">
        <f ca="1">IFERROR(__xludf.DUMMYFUNCTION("GOOGLETRANSLATE(C190,""en"",""hr"")"),"Crijevo za zrak punjenja hladnjak motora")</f>
        <v>Crijevo za zrak punjenja hladnjak motora</v>
      </c>
    </row>
    <row r="657" spans="1:2" x14ac:dyDescent="0.2">
      <c r="A657" s="21">
        <v>7066505</v>
      </c>
      <c r="B657" s="18" t="str">
        <f ca="1">IFERROR(__xludf.DUMMYFUNCTION("GOOGLETRANSLATE(C4719,""en"",""hr"")"),"Zaštita")</f>
        <v>Zaštita</v>
      </c>
    </row>
    <row r="658" spans="1:2" x14ac:dyDescent="0.2">
      <c r="A658" s="21">
        <v>7066506</v>
      </c>
      <c r="B658" s="18" t="str">
        <f ca="1">IFERROR(__xludf.DUMMYFUNCTION("GOOGLETRANSLATE(C4728,""en"",""hr"")"),"Zaštita")</f>
        <v>Zaštita</v>
      </c>
    </row>
    <row r="659" spans="1:2" x14ac:dyDescent="0.2">
      <c r="A659" s="21">
        <v>7066507</v>
      </c>
      <c r="B659" s="18" t="str">
        <f ca="1">IFERROR(__xludf.DUMMYFUNCTION("GOOGLETRANSLATE(C4718,""en"",""hr"")"),"Zaštita")</f>
        <v>Zaštita</v>
      </c>
    </row>
    <row r="660" spans="1:2" x14ac:dyDescent="0.2">
      <c r="A660" s="21">
        <v>7066508</v>
      </c>
      <c r="B660" s="18" t="str">
        <f ca="1">IFERROR(__xludf.DUMMYFUNCTION("GOOGLETRANSLATE(C4727,""en"",""hr"")"),"Zaštita")</f>
        <v>Zaštita</v>
      </c>
    </row>
    <row r="661" spans="1:2" x14ac:dyDescent="0.2">
      <c r="A661" s="21">
        <v>7066509</v>
      </c>
      <c r="B661" s="18" t="str">
        <f ca="1">IFERROR(__xludf.DUMMYFUNCTION("GOOGLETRANSLATE(C4725,""en"",""hr"")"),"Šipka, bijela")</f>
        <v>Šipka, bijela</v>
      </c>
    </row>
    <row r="662" spans="1:2" x14ac:dyDescent="0.2">
      <c r="A662" s="21">
        <v>7066525</v>
      </c>
      <c r="B662" s="18" t="str">
        <f ca="1">IFERROR(__xludf.DUMMYFUNCTION("GOOGLETRANSLATE(C3082,""en"",""hr"")"),"Četka za trake LH")</f>
        <v>Četka za trake LH</v>
      </c>
    </row>
    <row r="663" spans="1:2" x14ac:dyDescent="0.2">
      <c r="A663" s="21">
        <v>7066526</v>
      </c>
      <c r="B663" s="18" t="str">
        <f ca="1">IFERROR(__xludf.DUMMYFUNCTION("GOOGLETRANSLATE(C3083,""en"",""hr"")"),"Četka za trake RH")</f>
        <v>Četka za trake RH</v>
      </c>
    </row>
    <row r="664" spans="1:2" x14ac:dyDescent="0.2">
      <c r="A664" s="21">
        <v>7066565</v>
      </c>
      <c r="B664" s="18" t="str">
        <f ca="1">IFERROR(__xludf.DUMMYFUNCTION("GOOGLETRANSLATE(C930,""en"",""hr"")"),"Motor")</f>
        <v>Motor</v>
      </c>
    </row>
    <row r="665" spans="1:2" x14ac:dyDescent="0.2">
      <c r="A665" s="21">
        <v>7066608</v>
      </c>
      <c r="B665" s="18" t="str">
        <f ca="1">IFERROR(__xludf.DUMMYFUNCTION("GOOGLETRANSLATE(C1028,""en"",""hr"")"),"Držač")</f>
        <v>Držač</v>
      </c>
    </row>
    <row r="666" spans="1:2" x14ac:dyDescent="0.2">
      <c r="A666" s="21">
        <v>7066610</v>
      </c>
      <c r="B666" s="18" t="str">
        <f ca="1">IFERROR(__xludf.DUMMYFUNCTION("GOOGLETRANSLATE(C2006,""en"",""hr"")"),"Restriktor")</f>
        <v>Restriktor</v>
      </c>
    </row>
    <row r="667" spans="1:2" x14ac:dyDescent="0.2">
      <c r="A667" s="21">
        <v>7066616</v>
      </c>
      <c r="B667" s="18" t="str">
        <f ca="1">IFERROR(__xludf.DUMMYFUNCTION("GOOGLETRANSLATE(C771,""en"",""hr"")"),"Zaštita")</f>
        <v>Zaštita</v>
      </c>
    </row>
    <row r="668" spans="1:2" x14ac:dyDescent="0.2">
      <c r="A668" s="21">
        <v>7066634</v>
      </c>
      <c r="B668" s="18" t="str">
        <f ca="1">IFERROR(__xludf.DUMMYFUNCTION("GOOGLETRANSLATE(C961,""en"",""hr"")"),"Motor")</f>
        <v>Motor</v>
      </c>
    </row>
    <row r="669" spans="1:2" x14ac:dyDescent="0.2">
      <c r="A669" s="21">
        <v>7066658</v>
      </c>
      <c r="B669" s="18" t="str">
        <f ca="1">IFERROR(__xludf.DUMMYFUNCTION("GOOGLETRANSLATE(C1614,""en"",""hr"")"),"Metalni lim")</f>
        <v>Metalni lim</v>
      </c>
    </row>
    <row r="670" spans="1:2" x14ac:dyDescent="0.2">
      <c r="A670" s="21">
        <v>7066666</v>
      </c>
      <c r="B670" s="18" t="str">
        <f ca="1">IFERROR(__xludf.DUMMYFUNCTION("GOOGLETRANSLATE(C3629,""en"",""hr"")"),"Cijev")</f>
        <v>Cijev</v>
      </c>
    </row>
    <row r="671" spans="1:2" x14ac:dyDescent="0.2">
      <c r="A671" s="21">
        <v>7066667</v>
      </c>
      <c r="B671" s="18" t="str">
        <f ca="1">IFERROR(__xludf.DUMMYFUNCTION("GOOGLETRANSLATE(C2146,""en"",""hr"")"),"Cijev")</f>
        <v>Cijev</v>
      </c>
    </row>
    <row r="672" spans="1:2" x14ac:dyDescent="0.2">
      <c r="A672" s="21">
        <v>7066691</v>
      </c>
      <c r="B672" s="18" t="str">
        <f ca="1">IFERROR(__xludf.DUMMYFUNCTION("GOOGLETRANSLATE(C6233,""en"",""hr"")"),"Cijev")</f>
        <v>Cijev</v>
      </c>
    </row>
    <row r="673" spans="1:2" x14ac:dyDescent="0.2">
      <c r="A673" s="21">
        <v>7066713</v>
      </c>
      <c r="B673" s="18" t="str">
        <f ca="1">IFERROR(__xludf.DUMMYFUNCTION("GOOGLETRANSLATE(C5137,""en"",""hr"")"),"Žmigavac LED")</f>
        <v>Žmigavac LED</v>
      </c>
    </row>
    <row r="674" spans="1:2" x14ac:dyDescent="0.2">
      <c r="A674" s="21">
        <v>7066728</v>
      </c>
      <c r="B674" s="18" t="str">
        <f ca="1">IFERROR(__xludf.DUMMYFUNCTION("GOOGLETRANSLATE(C6319,""en"",""hr"")"),"Ploča")</f>
        <v>Ploča</v>
      </c>
    </row>
    <row r="675" spans="1:2" x14ac:dyDescent="0.2">
      <c r="A675" s="21">
        <v>7066732</v>
      </c>
      <c r="B675" s="18" t="str">
        <f ca="1">IFERROR(__xludf.DUMMYFUNCTION("GOOGLETRANSLATE(C5130,""en"",""hr"")"),"Držač")</f>
        <v>Držač</v>
      </c>
    </row>
    <row r="676" spans="1:2" x14ac:dyDescent="0.2">
      <c r="A676" s="21">
        <v>7066733</v>
      </c>
      <c r="B676" s="18" t="str">
        <f ca="1">IFERROR(__xludf.DUMMYFUNCTION("GOOGLETRANSLATE(C5129,""en"",""hr"")"),"Držač")</f>
        <v>Držač</v>
      </c>
    </row>
    <row r="677" spans="1:2" x14ac:dyDescent="0.2">
      <c r="A677" s="21">
        <v>7066750</v>
      </c>
      <c r="B677" s="18" t="str">
        <f ca="1">IFERROR(__xludf.DUMMYFUNCTION("GOOGLETRANSLATE(C6076,""en"",""hr"")"),"Cijev")</f>
        <v>Cijev</v>
      </c>
    </row>
    <row r="678" spans="1:2" x14ac:dyDescent="0.2">
      <c r="A678" s="21">
        <v>7066755</v>
      </c>
      <c r="B678" s="18" t="str">
        <f ca="1">IFERROR(__xludf.DUMMYFUNCTION("GOOGLETRANSLATE(C468,""en"",""hr"")"),"Potrošna ploča")</f>
        <v>Potrošna ploča</v>
      </c>
    </row>
    <row r="679" spans="1:2" x14ac:dyDescent="0.2">
      <c r="A679" s="21">
        <v>7066756</v>
      </c>
      <c r="B679" s="18" t="str">
        <f ca="1">IFERROR(__xludf.DUMMYFUNCTION("GOOGLETRANSLATE(C469,""en"",""hr"")"),"Potrošna ploča")</f>
        <v>Potrošna ploča</v>
      </c>
    </row>
    <row r="680" spans="1:2" x14ac:dyDescent="0.2">
      <c r="A680" s="21">
        <v>7066767</v>
      </c>
      <c r="B680" s="18" t="str">
        <f ca="1">IFERROR(__xludf.DUMMYFUNCTION("GOOGLETRANSLATE(C5440,""en"",""hr"")"),"Pojas")</f>
        <v>Pojas</v>
      </c>
    </row>
    <row r="681" spans="1:2" x14ac:dyDescent="0.2">
      <c r="A681" s="21">
        <v>7066768</v>
      </c>
      <c r="B681" s="18" t="str">
        <f ca="1">IFERROR(__xludf.DUMMYFUNCTION("GOOGLETRANSLATE(C562,""en"",""hr"")"),"Kočioni vod")</f>
        <v>Kočioni vod</v>
      </c>
    </row>
    <row r="682" spans="1:2" x14ac:dyDescent="0.2">
      <c r="A682" s="21">
        <v>7066769</v>
      </c>
      <c r="B682" s="18" t="str">
        <f ca="1">IFERROR(__xludf.DUMMYFUNCTION("GOOGLETRANSLATE(C76,""en"",""hr"")"),"Sweeping Guard")</f>
        <v>Sweeping Guard</v>
      </c>
    </row>
    <row r="683" spans="1:2" x14ac:dyDescent="0.2">
      <c r="A683" s="21">
        <v>7066772</v>
      </c>
      <c r="B683" s="18" t="str">
        <f ca="1">IFERROR(__xludf.DUMMYFUNCTION("GOOGLETRANSLATE(C536,""en"",""hr"")"),"Crijevo")</f>
        <v>Crijevo</v>
      </c>
    </row>
    <row r="684" spans="1:2" x14ac:dyDescent="0.2">
      <c r="A684" s="21">
        <v>7066773</v>
      </c>
      <c r="B684" s="18" t="str">
        <f ca="1">IFERROR(__xludf.DUMMYFUNCTION("GOOGLETRANSLATE(C538,""en"",""hr"")"),"Crijevo")</f>
        <v>Crijevo</v>
      </c>
    </row>
    <row r="685" spans="1:2" x14ac:dyDescent="0.2">
      <c r="A685" s="21">
        <v>7066774</v>
      </c>
      <c r="B685" s="18" t="str">
        <f ca="1">IFERROR(__xludf.DUMMYFUNCTION("GOOGLETRANSLATE(C5905,""en"",""hr"")"),"Hidraulično crijevo")</f>
        <v>Hidraulično crijevo</v>
      </c>
    </row>
    <row r="686" spans="1:2" x14ac:dyDescent="0.2">
      <c r="A686" s="21">
        <v>7066775</v>
      </c>
      <c r="B686" s="18" t="str">
        <f ca="1">IFERROR(__xludf.DUMMYFUNCTION("GOOGLETRANSLATE(C5906,""en"",""hr"")"),"Crijevo")</f>
        <v>Crijevo</v>
      </c>
    </row>
    <row r="687" spans="1:2" x14ac:dyDescent="0.2">
      <c r="A687" s="21">
        <v>7066776</v>
      </c>
      <c r="B687" s="18" t="str">
        <f ca="1">IFERROR(__xludf.DUMMYFUNCTION("GOOGLETRANSLATE(C5907,""en"",""hr"")"),"Cijev za kapanje ulja")</f>
        <v>Cijev za kapanje ulja</v>
      </c>
    </row>
    <row r="688" spans="1:2" x14ac:dyDescent="0.2">
      <c r="A688" s="21">
        <v>7066778</v>
      </c>
      <c r="B688" s="18" t="str">
        <f ca="1">IFERROR(__xludf.DUMMYFUNCTION("GOOGLETRANSLATE(C5908,""en"",""hr"")"),"Crijevo")</f>
        <v>Crijevo</v>
      </c>
    </row>
    <row r="689" spans="1:2" x14ac:dyDescent="0.2">
      <c r="A689" s="21">
        <v>7066787</v>
      </c>
      <c r="B689" s="18" t="str">
        <f ca="1">IFERROR(__xludf.DUMMYFUNCTION("GOOGLETRANSLATE(C5994,""en"",""hr"")"),"Hidraulično crijevo")</f>
        <v>Hidraulično crijevo</v>
      </c>
    </row>
    <row r="690" spans="1:2" x14ac:dyDescent="0.2">
      <c r="A690" s="21">
        <v>7066790</v>
      </c>
      <c r="B690" s="18" t="str">
        <f ca="1">IFERROR(__xludf.DUMMYFUNCTION("GOOGLETRANSLATE(C5995,""en"",""hr"")"),"Hidraulično crijevo")</f>
        <v>Hidraulično crijevo</v>
      </c>
    </row>
    <row r="691" spans="1:2" x14ac:dyDescent="0.2">
      <c r="A691" s="21">
        <v>7066800</v>
      </c>
      <c r="B691" s="18" t="str">
        <f ca="1">IFERROR(__xludf.DUMMYFUNCTION("GOOGLETRANSLATE(C5996,""en"",""hr"")"),"Hidraulično crijevo")</f>
        <v>Hidraulično crijevo</v>
      </c>
    </row>
    <row r="692" spans="1:2" x14ac:dyDescent="0.2">
      <c r="A692" s="21">
        <v>7066801</v>
      </c>
      <c r="B692" s="18" t="str">
        <f ca="1">IFERROR(__xludf.DUMMYFUNCTION("GOOGLETRANSLATE(C5997,""en"",""hr"")"),"Hidraulično crijevo")</f>
        <v>Hidraulično crijevo</v>
      </c>
    </row>
    <row r="693" spans="1:2" x14ac:dyDescent="0.2">
      <c r="A693" s="21">
        <v>7066829</v>
      </c>
      <c r="B693" s="18" t="str">
        <f ca="1">IFERROR(__xludf.DUMMYFUNCTION("GOOGLETRANSLATE(C204,""en"",""hr"")"),"Spojka")</f>
        <v>Spojka</v>
      </c>
    </row>
    <row r="694" spans="1:2" x14ac:dyDescent="0.2">
      <c r="A694" s="21">
        <v>7066833</v>
      </c>
      <c r="B694" s="18" t="str">
        <f ca="1">IFERROR(__xludf.DUMMYFUNCTION("GOOGLETRANSLATE(C6231,""en"",""hr"")"),"Cijev")</f>
        <v>Cijev</v>
      </c>
    </row>
    <row r="695" spans="1:2" x14ac:dyDescent="0.2">
      <c r="A695" s="21">
        <v>7066843</v>
      </c>
      <c r="B695" s="18" t="str">
        <f ca="1">IFERROR(__xludf.DUMMYFUNCTION("GOOGLETRANSLATE(C6204,""en"",""hr"")"),"Cijev")</f>
        <v>Cijev</v>
      </c>
    </row>
    <row r="696" spans="1:2" x14ac:dyDescent="0.2">
      <c r="A696" s="21">
        <v>7066844</v>
      </c>
      <c r="B696" s="18" t="str">
        <f ca="1">IFERROR(__xludf.DUMMYFUNCTION("GOOGLETRANSLATE(C3679,""en"",""hr"")"),"Držač za filter za vodu")</f>
        <v>Držač za filter za vodu</v>
      </c>
    </row>
    <row r="697" spans="1:2" x14ac:dyDescent="0.2">
      <c r="A697" s="21">
        <v>7066871</v>
      </c>
      <c r="B697" s="18" t="str">
        <f ca="1">IFERROR(__xludf.DUMMYFUNCTION("GOOGLETRANSLATE(C4691,""en"",""hr"")"),"Zaštita")</f>
        <v>Zaštita</v>
      </c>
    </row>
    <row r="698" spans="1:2" x14ac:dyDescent="0.2">
      <c r="A698" s="21">
        <v>7066877</v>
      </c>
      <c r="B698" s="18" t="str">
        <f ca="1">IFERROR(__xludf.DUMMYFUNCTION("GOOGLETRANSLATE(C3361,""en"",""hr"")"),"Držač")</f>
        <v>Držač</v>
      </c>
    </row>
    <row r="699" spans="1:2" x14ac:dyDescent="0.2">
      <c r="A699" s="21">
        <v>7066886</v>
      </c>
      <c r="B699" s="18" t="str">
        <f ca="1">IFERROR(__xludf.DUMMYFUNCTION("GOOGLETRANSLATE(C3362,""en"",""hr"")"),"Držač")</f>
        <v>Držač</v>
      </c>
    </row>
    <row r="700" spans="1:2" x14ac:dyDescent="0.2">
      <c r="A700" s="21">
        <v>7066898</v>
      </c>
      <c r="B700" s="18" t="str">
        <f ca="1">IFERROR(__xludf.DUMMYFUNCTION("GOOGLETRANSLATE(C6625,""en"",""hr"")"),"Ključ za hidrant")</f>
        <v>Ključ za hidrant</v>
      </c>
    </row>
    <row r="701" spans="1:2" x14ac:dyDescent="0.2">
      <c r="A701" s="21">
        <v>7066907</v>
      </c>
      <c r="B701" s="18" t="str">
        <f ca="1">IFERROR(__xludf.DUMMYFUNCTION("GOOGLETRANSLATE(C6206,""en"",""hr"")"),"Tlačni vod")</f>
        <v>Tlačni vod</v>
      </c>
    </row>
    <row r="702" spans="1:2" x14ac:dyDescent="0.2">
      <c r="A702" s="21">
        <v>7066908</v>
      </c>
      <c r="B702" s="18" t="str">
        <f ca="1">IFERROR(__xludf.DUMMYFUNCTION("GOOGLETRANSLATE(C2388,""en"",""hr"")"),"Cijev")</f>
        <v>Cijev</v>
      </c>
    </row>
    <row r="703" spans="1:2" x14ac:dyDescent="0.2">
      <c r="A703" s="21">
        <v>7066910</v>
      </c>
      <c r="B703" s="18" t="str">
        <f ca="1">IFERROR(__xludf.DUMMYFUNCTION("GOOGLETRANSLATE(C6665,""en"",""hr"")"),"Držač")</f>
        <v>Držač</v>
      </c>
    </row>
    <row r="704" spans="1:2" x14ac:dyDescent="0.2">
      <c r="A704" s="21">
        <v>7066960</v>
      </c>
      <c r="B704" s="18" t="str">
        <f ca="1">IFERROR(__xludf.DUMMYFUNCTION("GOOGLETRANSLATE(C3373,""en"",""hr"")"),"Ručka")</f>
        <v>Ručka</v>
      </c>
    </row>
    <row r="705" spans="1:2" x14ac:dyDescent="0.2">
      <c r="A705" s="21">
        <v>7066961</v>
      </c>
      <c r="B705" s="18" t="str">
        <f ca="1">IFERROR(__xludf.DUMMYFUNCTION("GOOGLETRANSLATE(C3366,""en"",""hr"")"),"Ručka")</f>
        <v>Ručka</v>
      </c>
    </row>
    <row r="706" spans="1:2" x14ac:dyDescent="0.2">
      <c r="A706" s="21">
        <v>7067013</v>
      </c>
      <c r="B706" s="18" t="str">
        <f ca="1">IFERROR(__xludf.DUMMYFUNCTION("GOOGLETRANSLATE(C537,""en"",""hr"")"),"Crijevo")</f>
        <v>Crijevo</v>
      </c>
    </row>
    <row r="707" spans="1:2" x14ac:dyDescent="0.2">
      <c r="A707" s="21">
        <v>7067014</v>
      </c>
      <c r="B707" s="18" t="str">
        <f ca="1">IFERROR(__xludf.DUMMYFUNCTION("GOOGLETRANSLATE(C539,""en"",""hr"")"),"Crijevo")</f>
        <v>Crijevo</v>
      </c>
    </row>
    <row r="708" spans="1:2" x14ac:dyDescent="0.2">
      <c r="A708" s="21">
        <v>7067064</v>
      </c>
      <c r="B708" s="18" t="str">
        <f ca="1">IFERROR(__xludf.DUMMYFUNCTION("GOOGLETRANSLATE(C5114,""en"",""hr"")"),"Držač")</f>
        <v>Držač</v>
      </c>
    </row>
    <row r="709" spans="1:2" x14ac:dyDescent="0.2">
      <c r="A709" s="21">
        <v>7067065</v>
      </c>
      <c r="B709" s="18" t="str">
        <f ca="1">IFERROR(__xludf.DUMMYFUNCTION("GOOGLETRANSLATE(C5113,""en"",""hr"")"),"Držač")</f>
        <v>Držač</v>
      </c>
    </row>
    <row r="710" spans="1:2" x14ac:dyDescent="0.2">
      <c r="A710" s="21">
        <v>7067139</v>
      </c>
      <c r="B710" s="18" t="str">
        <f ca="1">IFERROR(__xludf.DUMMYFUNCTION("GOOGLETRANSLATE(C5731,""en"",""hr"")"),"Lim lijevo, naprijed")</f>
        <v>Lim lijevo, naprijed</v>
      </c>
    </row>
    <row r="711" spans="1:2" x14ac:dyDescent="0.2">
      <c r="A711" s="21">
        <v>7067140</v>
      </c>
      <c r="B711" s="18" t="str">
        <f ca="1">IFERROR(__xludf.DUMMYFUNCTION("GOOGLETRANSLATE(C3528,""en"",""hr"")"),"Lim desno, naprijed")</f>
        <v>Lim desno, naprijed</v>
      </c>
    </row>
    <row r="712" spans="1:2" x14ac:dyDescent="0.2">
      <c r="A712" s="21">
        <v>7067141</v>
      </c>
      <c r="B712" s="18" t="str">
        <f ca="1">IFERROR(__xludf.DUMMYFUNCTION("GOOGLETRANSLATE(C4664,""en"",""hr"")"),"Metalni lim")</f>
        <v>Metalni lim</v>
      </c>
    </row>
    <row r="713" spans="1:2" x14ac:dyDescent="0.2">
      <c r="A713" s="21">
        <v>7067142</v>
      </c>
      <c r="B713" s="18" t="str">
        <f ca="1">IFERROR(__xludf.DUMMYFUNCTION("GOOGLETRANSLATE(C1098,""en"",""hr"")"),"Metalni lim")</f>
        <v>Metalni lim</v>
      </c>
    </row>
    <row r="714" spans="1:2" x14ac:dyDescent="0.2">
      <c r="A714" s="21">
        <v>7067189</v>
      </c>
      <c r="B714" s="18" t="str">
        <f ca="1">IFERROR(__xludf.DUMMYFUNCTION("GOOGLETRANSLATE(C4144,""en"",""hr"")"),"Razmaknica")</f>
        <v>Razmaknica</v>
      </c>
    </row>
    <row r="715" spans="1:2" x14ac:dyDescent="0.2">
      <c r="A715" s="21">
        <v>7067219</v>
      </c>
      <c r="B715" s="18" t="str">
        <f ca="1">IFERROR(__xludf.DUMMYFUNCTION("GOOGLETRANSLATE(C4704,""en"",""hr"")"),"Rešetka")</f>
        <v>Rešetka</v>
      </c>
    </row>
    <row r="716" spans="1:2" x14ac:dyDescent="0.2">
      <c r="A716" s="21">
        <v>7067288</v>
      </c>
      <c r="B716" s="18" t="str">
        <f ca="1">IFERROR(__xludf.DUMMYFUNCTION("GOOGLETRANSLATE(C513,""en"",""hr"")"),"Crijevo")</f>
        <v>Crijevo</v>
      </c>
    </row>
    <row r="717" spans="1:2" x14ac:dyDescent="0.2">
      <c r="A717" s="21">
        <v>7067301</v>
      </c>
      <c r="B717" s="18" t="str">
        <f ca="1">IFERROR(__xludf.DUMMYFUNCTION("GOOGLETRANSLATE(C4686,""en"",""hr"")"),"Zaslon")</f>
        <v>Zaslon</v>
      </c>
    </row>
    <row r="718" spans="1:2" x14ac:dyDescent="0.2">
      <c r="A718" s="21">
        <v>7067309</v>
      </c>
      <c r="B718" s="18" t="str">
        <f ca="1">IFERROR(__xludf.DUMMYFUNCTION("GOOGLETRANSLATE(C3162,""en"",""hr"")"),"Usisni otvor cilindra za podizanje")</f>
        <v>Usisni otvor cilindra za podizanje</v>
      </c>
    </row>
    <row r="719" spans="1:2" x14ac:dyDescent="0.2">
      <c r="A719" s="21">
        <v>7067310</v>
      </c>
      <c r="B719" s="18" t="str">
        <f ca="1">IFERROR(__xludf.DUMMYFUNCTION("GOOGLETRANSLATE(C3157,""en"",""hr"")"),"Usisni otvor držača cilindra za podizanje")</f>
        <v>Usisni otvor držača cilindra za podizanje</v>
      </c>
    </row>
    <row r="720" spans="1:2" x14ac:dyDescent="0.2">
      <c r="A720" s="21">
        <v>7067313</v>
      </c>
      <c r="B720" s="18" t="str">
        <f ca="1">IFERROR(__xludf.DUMMYFUNCTION("GOOGLETRANSLATE(C3155,""en"",""hr"")"),"Držač")</f>
        <v>Držač</v>
      </c>
    </row>
    <row r="721" spans="1:2" x14ac:dyDescent="0.2">
      <c r="A721" s="21">
        <v>7067327</v>
      </c>
      <c r="B721" s="18" t="str">
        <f ca="1">IFERROR(__xludf.DUMMYFUNCTION("GOOGLETRANSLATE(C3153,""en"",""hr"")"),"Držač")</f>
        <v>Držač</v>
      </c>
    </row>
    <row r="722" spans="1:2" x14ac:dyDescent="0.2">
      <c r="A722" s="21">
        <v>7067329</v>
      </c>
      <c r="B722" s="18" t="str">
        <f ca="1">IFERROR(__xludf.DUMMYFUNCTION("GOOGLETRANSLATE(C2028,""en"",""hr"")"),"Držač")</f>
        <v>Držač</v>
      </c>
    </row>
    <row r="723" spans="1:2" x14ac:dyDescent="0.2">
      <c r="A723" s="21">
        <v>7067331</v>
      </c>
      <c r="B723" s="18" t="str">
        <f ca="1">IFERROR(__xludf.DUMMYFUNCTION("GOOGLETRANSLATE(C488,""en"",""hr"")"),"Disk udaljenosti")</f>
        <v>Disk udaljenosti</v>
      </c>
    </row>
    <row r="724" spans="1:2" x14ac:dyDescent="0.2">
      <c r="A724" s="21">
        <v>7067332</v>
      </c>
      <c r="B724" s="18" t="str">
        <f ca="1">IFERROR(__xludf.DUMMYFUNCTION("GOOGLETRANSLATE(C595,""en"",""hr"")"),"Crijevo")</f>
        <v>Crijevo</v>
      </c>
    </row>
    <row r="725" spans="1:2" x14ac:dyDescent="0.2">
      <c r="A725" s="21">
        <v>7067335</v>
      </c>
      <c r="B725" s="18" t="str">
        <f ca="1">IFERROR(__xludf.DUMMYFUNCTION("GOOGLETRANSLATE(C593,""en"",""hr"")"),"Kočioni vod")</f>
        <v>Kočioni vod</v>
      </c>
    </row>
    <row r="726" spans="1:2" x14ac:dyDescent="0.2">
      <c r="A726" s="21">
        <v>7067337</v>
      </c>
      <c r="B726" s="18" t="str">
        <f ca="1">IFERROR(__xludf.DUMMYFUNCTION("GOOGLETRANSLATE(C590,""en"",""hr"")"),"Kočioni vod")</f>
        <v>Kočioni vod</v>
      </c>
    </row>
    <row r="727" spans="1:2" x14ac:dyDescent="0.2">
      <c r="A727" s="21">
        <v>7067344</v>
      </c>
      <c r="B727" s="18" t="str">
        <f ca="1">IFERROR(__xludf.DUMMYFUNCTION("GOOGLETRANSLATE(C594,""en"",""hr"")"),"Kočioni vod")</f>
        <v>Kočioni vod</v>
      </c>
    </row>
    <row r="728" spans="1:2" x14ac:dyDescent="0.2">
      <c r="A728" s="21">
        <v>7067346</v>
      </c>
      <c r="B728" s="18" t="str">
        <f ca="1">IFERROR(__xludf.DUMMYFUNCTION("GOOGLETRANSLATE(C591,""en"",""hr"")"),"Kočioni vod")</f>
        <v>Kočioni vod</v>
      </c>
    </row>
    <row r="729" spans="1:2" x14ac:dyDescent="0.2">
      <c r="A729" s="21">
        <v>7067352</v>
      </c>
      <c r="B729" s="18" t="str">
        <f ca="1">IFERROR(__xludf.DUMMYFUNCTION("GOOGLETRANSLATE(C596,""en"",""hr"")"),"Crijevo")</f>
        <v>Crijevo</v>
      </c>
    </row>
    <row r="730" spans="1:2" x14ac:dyDescent="0.2">
      <c r="A730" s="21">
        <v>7067360</v>
      </c>
      <c r="B730" s="18" t="str">
        <f ca="1">IFERROR(__xludf.DUMMYFUNCTION("GOOGLETRANSLATE(C589,""en"",""hr"")"),"Crijevo")</f>
        <v>Crijevo</v>
      </c>
    </row>
    <row r="731" spans="1:2" x14ac:dyDescent="0.2">
      <c r="A731" s="21">
        <v>7067377</v>
      </c>
      <c r="B731" s="18" t="str">
        <f ca="1">IFERROR(__xludf.DUMMYFUNCTION("GOOGLETRANSLATE(C5361,""en"",""hr"")"),"Zaštita")</f>
        <v>Zaštita</v>
      </c>
    </row>
    <row r="732" spans="1:2" x14ac:dyDescent="0.2">
      <c r="A732" s="21">
        <v>7067378</v>
      </c>
      <c r="B732" s="18" t="str">
        <f ca="1">IFERROR(__xludf.DUMMYFUNCTION("GOOGLETRANSLATE(C5360,""en"",""hr"")"),"Zaštita")</f>
        <v>Zaštita</v>
      </c>
    </row>
    <row r="733" spans="1:2" x14ac:dyDescent="0.2">
      <c r="A733" s="21">
        <v>7067386</v>
      </c>
      <c r="B733" s="18" t="str">
        <f ca="1">IFERROR(__xludf.DUMMYFUNCTION("GOOGLETRANSLATE(C5925,""en"",""hr"")"),"Cijev")</f>
        <v>Cijev</v>
      </c>
    </row>
    <row r="734" spans="1:2" x14ac:dyDescent="0.2">
      <c r="A734" s="21">
        <v>7067405</v>
      </c>
      <c r="B734" s="18" t="str">
        <f ca="1">IFERROR(__xludf.DUMMYFUNCTION("GOOGLETRANSLATE(C3159,""en"",""hr"")"),"Distantna čahura")</f>
        <v>Distantna čahura</v>
      </c>
    </row>
    <row r="735" spans="1:2" x14ac:dyDescent="0.2">
      <c r="A735" s="21">
        <v>7067430</v>
      </c>
      <c r="B735" s="18" t="str">
        <f ca="1">IFERROR(__xludf.DUMMYFUNCTION("GOOGLETRANSLATE(C3134,""en"",""hr"")"),"Sklop nosača usisne cijevi")</f>
        <v>Sklop nosača usisne cijevi</v>
      </c>
    </row>
    <row r="736" spans="1:2" x14ac:dyDescent="0.2">
      <c r="A736" s="21">
        <v>7067434</v>
      </c>
      <c r="B736" s="18" t="str">
        <f ca="1">IFERROR(__xludf.DUMMYFUNCTION("GOOGLETRANSLATE(C3974,""en"",""hr"")"),"Držač")</f>
        <v>Držač</v>
      </c>
    </row>
    <row r="737" spans="1:2" x14ac:dyDescent="0.2">
      <c r="A737" s="21">
        <v>7067441</v>
      </c>
      <c r="B737" s="18" t="str">
        <f ca="1">IFERROR(__xludf.DUMMYFUNCTION("GOOGLETRANSLATE(C5852,""en"",""hr"")"),"Povratna cijev hladnjaka")</f>
        <v>Povratna cijev hladnjaka</v>
      </c>
    </row>
    <row r="738" spans="1:2" x14ac:dyDescent="0.2">
      <c r="A738" s="21">
        <v>7067464</v>
      </c>
      <c r="B738" s="18" t="str">
        <f ca="1">IFERROR(__xludf.DUMMYFUNCTION("GOOGLETRANSLATE(C6612,""en"",""hr"")"),"Držač")</f>
        <v>Držač</v>
      </c>
    </row>
    <row r="739" spans="1:2" x14ac:dyDescent="0.2">
      <c r="A739" s="21">
        <v>7067475</v>
      </c>
      <c r="B739" s="18" t="str">
        <f ca="1">IFERROR(__xludf.DUMMYFUNCTION("GOOGLETRANSLATE(C4983,""en"",""hr"")"),"Podna ploča")</f>
        <v>Podna ploča</v>
      </c>
    </row>
    <row r="740" spans="1:2" x14ac:dyDescent="0.2">
      <c r="A740" s="21">
        <v>7067477</v>
      </c>
      <c r="B740" s="18" t="str">
        <f ca="1">IFERROR(__xludf.DUMMYFUNCTION("GOOGLETRANSLATE(C4984,""en"",""hr"")"),"Podna ploča")</f>
        <v>Podna ploča</v>
      </c>
    </row>
    <row r="741" spans="1:2" x14ac:dyDescent="0.2">
      <c r="A741" s="21">
        <v>7067489</v>
      </c>
      <c r="B741" s="18" t="str">
        <f ca="1">IFERROR(__xludf.DUMMYFUNCTION("GOOGLETRANSLATE(C4951,""en"",""hr"")"),"Podna prostirka")</f>
        <v>Podna prostirka</v>
      </c>
    </row>
    <row r="742" spans="1:2" x14ac:dyDescent="0.2">
      <c r="A742" s="21">
        <v>7067490</v>
      </c>
      <c r="B742" s="18" t="str">
        <f ca="1">IFERROR(__xludf.DUMMYFUNCTION("GOOGLETRANSLATE(C4952,""en"",""hr"")"),"Podna prostirka")</f>
        <v>Podna prostirka</v>
      </c>
    </row>
    <row r="743" spans="1:2" x14ac:dyDescent="0.2">
      <c r="A743" s="21">
        <v>7067496</v>
      </c>
      <c r="B743" s="18" t="str">
        <f ca="1">IFERROR(__xludf.DUMMYFUNCTION("GOOGLETRANSLATE(C333,""en"",""hr"")"),"Višenamjenska podrška")</f>
        <v>Višenamjenska podrška</v>
      </c>
    </row>
    <row r="744" spans="1:2" x14ac:dyDescent="0.2">
      <c r="A744" s="21">
        <v>7067554</v>
      </c>
      <c r="B744" s="18" t="str">
        <f ca="1">IFERROR(__xludf.DUMMYFUNCTION("GOOGLETRANSLATE(C6290,""en"",""hr"")"),"Kabelski svežanj (+FO-SB)")</f>
        <v>Kabelski svežanj (+FO-SB)</v>
      </c>
    </row>
    <row r="745" spans="1:2" x14ac:dyDescent="0.2">
      <c r="A745" s="21">
        <v>7067558</v>
      </c>
      <c r="B745" s="18" t="str">
        <f ca="1">IFERROR(__xludf.DUMMYFUNCTION("GOOGLETRANSLATE(C4740,""en"",""hr"")"),"Držač")</f>
        <v>Držač</v>
      </c>
    </row>
    <row r="746" spans="1:2" x14ac:dyDescent="0.2">
      <c r="A746" s="21">
        <v>7067611</v>
      </c>
      <c r="B746" s="18" t="str">
        <f ca="1">IFERROR(__xludf.DUMMYFUNCTION("GOOGLETRANSLATE(C6211,""en"",""hr"")"),"Cijev")</f>
        <v>Cijev</v>
      </c>
    </row>
    <row r="747" spans="1:2" x14ac:dyDescent="0.2">
      <c r="A747" s="21">
        <v>7067613</v>
      </c>
      <c r="B747" s="18" t="str">
        <f ca="1">IFERROR(__xludf.DUMMYFUNCTION("GOOGLETRANSLATE(C6213,""en"",""hr"")"),"Cijev")</f>
        <v>Cijev</v>
      </c>
    </row>
    <row r="748" spans="1:2" x14ac:dyDescent="0.2">
      <c r="A748" s="21">
        <v>7067614</v>
      </c>
      <c r="B748" s="18" t="str">
        <f ca="1">IFERROR(__xludf.DUMMYFUNCTION("GOOGLETRANSLATE(C6215,""en"",""hr"")"),"Cijev")</f>
        <v>Cijev</v>
      </c>
    </row>
    <row r="749" spans="1:2" x14ac:dyDescent="0.2">
      <c r="A749" s="21">
        <v>7067617</v>
      </c>
      <c r="B749" s="18" t="str">
        <f ca="1">IFERROR(__xludf.DUMMYFUNCTION("GOOGLETRANSLATE(C6217,""en"",""hr"")"),"Cijev")</f>
        <v>Cijev</v>
      </c>
    </row>
    <row r="750" spans="1:2" x14ac:dyDescent="0.2">
      <c r="A750" s="21">
        <v>7067620</v>
      </c>
      <c r="B750" s="18" t="str">
        <f ca="1">IFERROR(__xludf.DUMMYFUNCTION("GOOGLETRANSLATE(C6219,""en"",""hr"")"),"Cijev")</f>
        <v>Cijev</v>
      </c>
    </row>
    <row r="751" spans="1:2" x14ac:dyDescent="0.2">
      <c r="A751" s="21">
        <v>7067643</v>
      </c>
      <c r="B751" s="18" t="str">
        <f ca="1">IFERROR(__xludf.DUMMYFUNCTION("GOOGLETRANSLATE(C551,""en"",""hr"")"),"Ventil ručne kočnice")</f>
        <v>Ventil ručne kočnice</v>
      </c>
    </row>
    <row r="752" spans="1:2" x14ac:dyDescent="0.2">
      <c r="A752" s="21">
        <v>7067655</v>
      </c>
      <c r="B752" s="18" t="str">
        <f ca="1">IFERROR(__xludf.DUMMYFUNCTION("GOOGLETRANSLATE(C4166,""en"",""hr"")"),"Montažna ploča")</f>
        <v>Montažna ploča</v>
      </c>
    </row>
    <row r="753" spans="1:2" x14ac:dyDescent="0.2">
      <c r="A753" s="21">
        <v>7067692</v>
      </c>
      <c r="B753" s="18" t="str">
        <f ca="1">IFERROR(__xludf.DUMMYFUNCTION("GOOGLETRANSLATE(C4167,""en"",""hr"")"),"Ploča")</f>
        <v>Ploča</v>
      </c>
    </row>
    <row r="754" spans="1:2" x14ac:dyDescent="0.2">
      <c r="A754" s="21">
        <v>7067773</v>
      </c>
      <c r="B754" s="18" t="str">
        <f ca="1">IFERROR(__xludf.DUMMYFUNCTION("GOOGLETRANSLATE(C351,""en"",""hr"")"),"Felge 6Jx16 ET50")</f>
        <v>Felge 6Jx16 ET50</v>
      </c>
    </row>
    <row r="755" spans="1:2" x14ac:dyDescent="0.2">
      <c r="A755" s="21">
        <v>7067779</v>
      </c>
      <c r="B755" s="18" t="str">
        <f ca="1">IFERROR(__xludf.DUMMYFUNCTION("GOOGLETRANSLATE(C2588,""en"",""hr"")"),"Crijevo")</f>
        <v>Crijevo</v>
      </c>
    </row>
    <row r="756" spans="1:2" x14ac:dyDescent="0.2">
      <c r="A756" s="21">
        <v>7067781</v>
      </c>
      <c r="B756" s="18" t="str">
        <f ca="1">IFERROR(__xludf.DUMMYFUNCTION("GOOGLETRANSLATE(C2587,""en"",""hr"")"),"Crijevo")</f>
        <v>Crijevo</v>
      </c>
    </row>
    <row r="757" spans="1:2" x14ac:dyDescent="0.2">
      <c r="A757" s="21">
        <v>7067788</v>
      </c>
      <c r="B757" s="18" t="str">
        <f ca="1">IFERROR(__xludf.DUMMYFUNCTION("GOOGLETRANSLATE(C399,""en"",""hr"")"),"Felge W8x16 ET45")</f>
        <v>Felge W8x16 ET45</v>
      </c>
    </row>
    <row r="758" spans="1:2" x14ac:dyDescent="0.2">
      <c r="A758" s="21">
        <v>7067797</v>
      </c>
      <c r="B758" s="18" t="str">
        <f ca="1">IFERROR(__xludf.DUMMYFUNCTION("GOOGLETRANSLATE(C71,""en"",""hr"")"),"Kotač 215/75 R16, 4x2, oniks")</f>
        <v>Kotač 215/75 R16, 4x2, oniks</v>
      </c>
    </row>
    <row r="759" spans="1:2" x14ac:dyDescent="0.2">
      <c r="A759" s="21">
        <v>7067837</v>
      </c>
      <c r="B759" s="18" t="str">
        <f ca="1">IFERROR(__xludf.DUMMYFUNCTION("GOOGLETRANSLATE(C2586,""en"",""hr"")"),"Crijevo")</f>
        <v>Crijevo</v>
      </c>
    </row>
    <row r="760" spans="1:2" x14ac:dyDescent="0.2">
      <c r="A760" s="21">
        <v>7067839</v>
      </c>
      <c r="B760" s="18" t="str">
        <f ca="1">IFERROR(__xludf.DUMMYFUNCTION("GOOGLETRANSLATE(C2585,""en"",""hr"")"),"Crijevo")</f>
        <v>Crijevo</v>
      </c>
    </row>
    <row r="761" spans="1:2" x14ac:dyDescent="0.2">
      <c r="A761" s="21">
        <v>7067850</v>
      </c>
      <c r="B761" s="18" t="str">
        <f ca="1">IFERROR(__xludf.DUMMYFUNCTION("GOOGLETRANSLATE(C6270,""en"",""hr"")"),"Kabelski svežanj (+CA)")</f>
        <v>Kabelski svežanj (+CA)</v>
      </c>
    </row>
    <row r="762" spans="1:2" x14ac:dyDescent="0.2">
      <c r="A762" s="21">
        <v>7067853</v>
      </c>
      <c r="B762" s="18" t="str">
        <f ca="1">IFERROR(__xludf.DUMMYFUNCTION("GOOGLETRANSLATE(C1537,""en"",""hr"")"),"Kabelska hidraulika / ventilator / glavna vodena pumpa")</f>
        <v>Kabelska hidraulika / ventilator / glavna vodena pumpa</v>
      </c>
    </row>
    <row r="763" spans="1:2" x14ac:dyDescent="0.2">
      <c r="A763" s="21">
        <v>7067874</v>
      </c>
      <c r="B763" s="18" t="str">
        <f ca="1">IFERROR(__xludf.DUMMYFUNCTION("GOOGLETRANSLATE(C1519,""en"",""hr"")"),"Ožičenje")</f>
        <v>Ožičenje</v>
      </c>
    </row>
    <row r="764" spans="1:2" x14ac:dyDescent="0.2">
      <c r="A764" s="21">
        <v>7067875</v>
      </c>
      <c r="B764" s="18" t="str">
        <f ca="1">IFERROR(__xludf.DUMMYFUNCTION("GOOGLETRANSLATE(C1522,""en"",""hr"")"),"Ožičenje")</f>
        <v>Ožičenje</v>
      </c>
    </row>
    <row r="765" spans="1:2" x14ac:dyDescent="0.2">
      <c r="A765" s="21">
        <v>7067882</v>
      </c>
      <c r="B765" s="18" t="str">
        <f ca="1">IFERROR(__xludf.DUMMYFUNCTION("GOOGLETRANSLATE(C3364,""en"",""hr"")"),"Kabelski svežanj (+BO-LSH)")</f>
        <v>Kabelski svežanj (+BO-LSH)</v>
      </c>
    </row>
    <row r="766" spans="1:2" x14ac:dyDescent="0.2">
      <c r="A766" s="21">
        <v>7067927</v>
      </c>
      <c r="B766" s="18" t="str">
        <f ca="1">IFERROR(__xludf.DUMMYFUNCTION("GOOGLETRANSLATE(C245,""en"",""hr"")"),"Vodeni cijevni termostat - hladnjak")</f>
        <v>Vodeni cijevni termostat - hladnjak</v>
      </c>
    </row>
    <row r="767" spans="1:2" x14ac:dyDescent="0.2">
      <c r="A767" s="21">
        <v>7067950</v>
      </c>
      <c r="B767" s="18" t="str">
        <f ca="1">IFERROR(__xludf.DUMMYFUNCTION("GOOGLETRANSLATE(C6278,""en"",""hr"")"),"Kabel (+CH-P)")</f>
        <v>Kabel (+CH-P)</v>
      </c>
    </row>
    <row r="768" spans="1:2" x14ac:dyDescent="0.2">
      <c r="A768" s="21">
        <v>7067999</v>
      </c>
      <c r="B768" s="18" t="str">
        <f ca="1">IFERROR(__xludf.DUMMYFUNCTION("GOOGLETRANSLATE(C6323,""en"",""hr"")"),"Držač")</f>
        <v>Držač</v>
      </c>
    </row>
    <row r="769" spans="1:2" x14ac:dyDescent="0.2">
      <c r="A769" s="21">
        <v>7068000</v>
      </c>
      <c r="B769" s="18" t="str">
        <f ca="1">IFERROR(__xludf.DUMMYFUNCTION("GOOGLETRANSLATE(C6318,""en"",""hr"")"),"Prikaz")</f>
        <v>Prikaz</v>
      </c>
    </row>
    <row r="770" spans="1:2" x14ac:dyDescent="0.2">
      <c r="A770" s="21">
        <v>7068036</v>
      </c>
      <c r="B770" s="18" t="str">
        <f ca="1">IFERROR(__xludf.DUMMYFUNCTION("GOOGLETRANSLATE(C6322,""en"",""hr"")"),"Držač")</f>
        <v>Držač</v>
      </c>
    </row>
    <row r="771" spans="1:2" x14ac:dyDescent="0.2">
      <c r="A771" s="21">
        <v>7068058</v>
      </c>
      <c r="B771" s="18" t="str">
        <f ca="1">IFERROR(__xludf.DUMMYFUNCTION("GOOGLETRANSLATE(C5304,""en"",""hr"")"),"Prikaz")</f>
        <v>Prikaz</v>
      </c>
    </row>
    <row r="772" spans="1:2" x14ac:dyDescent="0.2">
      <c r="A772" s="21">
        <v>7068176</v>
      </c>
      <c r="B772" s="18" t="str">
        <f ca="1">IFERROR(__xludf.DUMMYFUNCTION("GOOGLETRANSLATE(C3603,""en"",""hr"")"),"Odvod vode cmpl.")</f>
        <v>Odvod vode cmpl.</v>
      </c>
    </row>
    <row r="773" spans="1:2" x14ac:dyDescent="0.2">
      <c r="A773" s="21">
        <v>7068186</v>
      </c>
      <c r="B773" s="18" t="str">
        <f ca="1">IFERROR(__xludf.DUMMYFUNCTION("GOOGLETRANSLATE(C642,""en"",""hr"")"),"Stražnja osovina")</f>
        <v>Stražnja osovina</v>
      </c>
    </row>
    <row r="774" spans="1:2" x14ac:dyDescent="0.2">
      <c r="A774" s="21">
        <v>7068191</v>
      </c>
      <c r="B774" s="18" t="str">
        <f ca="1">IFERROR(__xludf.DUMMYFUNCTION("GOOGLETRANSLATE(C617,""en"",""hr"")"),"Stražnja osovina")</f>
        <v>Stražnja osovina</v>
      </c>
    </row>
    <row r="775" spans="1:2" x14ac:dyDescent="0.2">
      <c r="A775" s="21">
        <v>7068209</v>
      </c>
      <c r="B775" s="18" t="str">
        <f ca="1">IFERROR(__xludf.DUMMYFUNCTION("GOOGLETRANSLATE(C1503,""en"",""hr"")"),"Pokrivni lim")</f>
        <v>Pokrivni lim</v>
      </c>
    </row>
    <row r="776" spans="1:2" x14ac:dyDescent="0.2">
      <c r="A776" s="21">
        <v>7068217</v>
      </c>
      <c r="B776" s="18" t="str">
        <f ca="1">IFERROR(__xludf.DUMMYFUNCTION("GOOGLETRANSLATE(C1500,""en"",""hr"")"),"Montirajte punjač, ​​grijanje")</f>
        <v>Montirajte punjač, ​​grijanje</v>
      </c>
    </row>
    <row r="777" spans="1:2" x14ac:dyDescent="0.2">
      <c r="A777" s="21">
        <v>7068231</v>
      </c>
      <c r="B777" s="18" t="str">
        <f ca="1">IFERROR(__xludf.DUMMYFUNCTION("GOOGLETRANSLATE(C1501,""en"",""hr"")"),"Pol")</f>
        <v>Pol</v>
      </c>
    </row>
    <row r="778" spans="1:2" x14ac:dyDescent="0.2">
      <c r="A778" s="21">
        <v>7068320</v>
      </c>
      <c r="B778" s="18" t="str">
        <f ca="1">IFERROR(__xludf.DUMMYFUNCTION("GOOGLETRANSLATE(C3568,""en"",""hr"")"),"Crijevo za rekuperaciju do usisnog otvora")</f>
        <v>Crijevo za rekuperaciju do usisnog otvora</v>
      </c>
    </row>
    <row r="779" spans="1:2" x14ac:dyDescent="0.2">
      <c r="A779" s="21">
        <v>7068322</v>
      </c>
      <c r="B779" s="18" t="str">
        <f ca="1">IFERROR(__xludf.DUMMYFUNCTION("GOOGLETRANSLATE(C3616,""en"",""hr"")"),"Montažna ploča za crijevo")</f>
        <v>Montažna ploča za crijevo</v>
      </c>
    </row>
    <row r="780" spans="1:2" x14ac:dyDescent="0.2">
      <c r="A780" s="21">
        <v>7068372</v>
      </c>
      <c r="B780" s="18" t="str">
        <f ca="1">IFERROR(__xludf.DUMMYFUNCTION("GOOGLETRANSLATE(C897,""en"",""hr"")"),"Čahura")</f>
        <v>Čahura</v>
      </c>
    </row>
    <row r="781" spans="1:2" x14ac:dyDescent="0.2">
      <c r="A781" s="21">
        <v>7068377</v>
      </c>
      <c r="B781" s="18" t="str">
        <f ca="1">IFERROR(__xludf.DUMMYFUNCTION("GOOGLETRANSLATE(C1145,""en"",""hr"")"),"Motor")</f>
        <v>Motor</v>
      </c>
    </row>
    <row r="782" spans="1:2" x14ac:dyDescent="0.2">
      <c r="A782" s="21">
        <v>7068518</v>
      </c>
      <c r="B782" s="18" t="str">
        <f ca="1">IFERROR(__xludf.DUMMYFUNCTION("GOOGLETRANSLATE(C5785,""en"",""hr"")"),"Perilica")</f>
        <v>Perilica</v>
      </c>
    </row>
    <row r="783" spans="1:2" x14ac:dyDescent="0.2">
      <c r="A783" s="21">
        <v>7068754</v>
      </c>
      <c r="B783" s="18" t="str">
        <f ca="1">IFERROR(__xludf.DUMMYFUNCTION("GOOGLETRANSLATE(C6623,""en"",""hr"")"),"Kit")</f>
        <v>Kit</v>
      </c>
    </row>
    <row r="784" spans="1:2" x14ac:dyDescent="0.2">
      <c r="A784" s="21">
        <v>7068768</v>
      </c>
      <c r="B784" s="18" t="str">
        <f ca="1">IFERROR(__xludf.DUMMYFUNCTION("GOOGLETRANSLATE(C6029,""en"",""hr"")"),"Cijev")</f>
        <v>Cijev</v>
      </c>
    </row>
    <row r="785" spans="1:2" x14ac:dyDescent="0.2">
      <c r="A785" s="21">
        <v>7068769</v>
      </c>
      <c r="B785" s="18" t="str">
        <f ca="1">IFERROR(__xludf.DUMMYFUNCTION("GOOGLETRANSLATE(C6030,""en"",""hr"")"),"Cijev")</f>
        <v>Cijev</v>
      </c>
    </row>
    <row r="786" spans="1:2" x14ac:dyDescent="0.2">
      <c r="A786" s="21">
        <v>7068770</v>
      </c>
      <c r="B786" s="18" t="str">
        <f ca="1">IFERROR(__xludf.DUMMYFUNCTION("GOOGLETRANSLATE(C6031,""en"",""hr"")"),"Cijev")</f>
        <v>Cijev</v>
      </c>
    </row>
    <row r="787" spans="1:2" x14ac:dyDescent="0.2">
      <c r="A787" s="21">
        <v>7068773</v>
      </c>
      <c r="B787" s="18" t="str">
        <f ca="1">IFERROR(__xludf.DUMMYFUNCTION("GOOGLETRANSLATE(C6034,""en"",""hr"")"),"Cijev")</f>
        <v>Cijev</v>
      </c>
    </row>
    <row r="788" spans="1:2" x14ac:dyDescent="0.2">
      <c r="A788" s="21">
        <v>7068775</v>
      </c>
      <c r="B788" s="18" t="str">
        <f ca="1">IFERROR(__xludf.DUMMYFUNCTION("GOOGLETRANSLATE(C5956,""en"",""hr"")"),"Crijevo")</f>
        <v>Crijevo</v>
      </c>
    </row>
    <row r="789" spans="1:2" x14ac:dyDescent="0.2">
      <c r="A789" s="21">
        <v>7068799</v>
      </c>
      <c r="B789" s="18" t="str">
        <f ca="1">IFERROR(__xludf.DUMMYFUNCTION("GOOGLETRANSLATE(C4313,""en"",""hr"")"),"Poklopac izlaza zraka")</f>
        <v>Poklopac izlaza zraka</v>
      </c>
    </row>
    <row r="790" spans="1:2" x14ac:dyDescent="0.2">
      <c r="A790" s="21">
        <v>7068800</v>
      </c>
      <c r="B790" s="18" t="str">
        <f ca="1">IFERROR(__xludf.DUMMYFUNCTION("GOOGLETRANSLATE(C4468,""en"",""hr"")"),"Ploča s navojem")</f>
        <v>Ploča s navojem</v>
      </c>
    </row>
    <row r="791" spans="1:2" x14ac:dyDescent="0.2">
      <c r="A791" s="21">
        <v>7068803</v>
      </c>
      <c r="B791" s="18" t="str">
        <f ca="1">IFERROR(__xludf.DUMMYFUNCTION("GOOGLETRANSLATE(C5649,""en"",""hr"")"),"Stezaljka za crijevo")</f>
        <v>Stezaljka za crijevo</v>
      </c>
    </row>
    <row r="792" spans="1:2" x14ac:dyDescent="0.2">
      <c r="A792" s="21">
        <v>7068811</v>
      </c>
      <c r="B792" s="18" t="str">
        <f ca="1">IFERROR(__xludf.DUMMYFUNCTION("GOOGLETRANSLATE(C6794,""en"",""hr"")"),"natpis antracit")</f>
        <v>natpis antracit</v>
      </c>
    </row>
    <row r="793" spans="1:2" x14ac:dyDescent="0.2">
      <c r="A793" s="21">
        <v>7068812</v>
      </c>
      <c r="B793" s="18" t="str">
        <f ca="1">IFERROR(__xludf.DUMMYFUNCTION("GOOGLETRANSLATE(C6795,""en"",""hr"")"),"natpis antracit")</f>
        <v>natpis antracit</v>
      </c>
    </row>
    <row r="794" spans="1:2" x14ac:dyDescent="0.2">
      <c r="A794" s="21">
        <v>7068813</v>
      </c>
      <c r="B794" s="18" t="str">
        <f ca="1">IFERROR(__xludf.DUMMYFUNCTION("GOOGLETRANSLATE(C6799,""en"",""hr"")"),"Ljepljiva ploča")</f>
        <v>Ljepljiva ploča</v>
      </c>
    </row>
    <row r="795" spans="1:2" x14ac:dyDescent="0.2">
      <c r="A795" s="21">
        <v>7068814</v>
      </c>
      <c r="B795" s="18" t="str">
        <f ca="1">IFERROR(__xludf.DUMMYFUNCTION("GOOGLETRANSLATE(C6798,""en"",""hr"")"),"Logo")</f>
        <v>Logo</v>
      </c>
    </row>
    <row r="796" spans="1:2" x14ac:dyDescent="0.2">
      <c r="A796" s="21">
        <v>7068817</v>
      </c>
      <c r="B796" s="18" t="str">
        <f ca="1">IFERROR(__xludf.DUMMYFUNCTION("GOOGLETRANSLATE(C4281,""en"",""hr"")"),"Cijev za umetanje")</f>
        <v>Cijev za umetanje</v>
      </c>
    </row>
    <row r="797" spans="1:2" x14ac:dyDescent="0.2">
      <c r="A797" s="21">
        <v>7068828</v>
      </c>
      <c r="B797" s="18" t="str">
        <f ca="1">IFERROR(__xludf.DUMMYFUNCTION("GOOGLETRANSLATE(C4375,""en"",""hr"")"),"Kućište ventilatora Assy")</f>
        <v>Kućište ventilatora Assy</v>
      </c>
    </row>
    <row r="798" spans="1:2" x14ac:dyDescent="0.2">
      <c r="A798" s="21">
        <v>7068833</v>
      </c>
      <c r="B798" s="18" t="str">
        <f ca="1">IFERROR(__xludf.DUMMYFUNCTION("GOOGLETRANSLATE(C4699,""en"",""hr"")"),"brtva")</f>
        <v>brtva</v>
      </c>
    </row>
    <row r="799" spans="1:2" x14ac:dyDescent="0.2">
      <c r="A799" s="21">
        <v>7068889</v>
      </c>
      <c r="B799" s="18" t="str">
        <f ca="1">IFERROR(__xludf.DUMMYFUNCTION("GOOGLETRANSLATE(C292,""en"",""hr"")"),"Ploča")</f>
        <v>Ploča</v>
      </c>
    </row>
    <row r="800" spans="1:2" x14ac:dyDescent="0.2">
      <c r="A800" s="21">
        <v>7068921</v>
      </c>
      <c r="B800" s="18" t="str">
        <f ca="1">IFERROR(__xludf.DUMMYFUNCTION("GOOGLETRANSLATE(C4310,""en"",""hr"")"),"Pokrivni lim")</f>
        <v>Pokrivni lim</v>
      </c>
    </row>
    <row r="801" spans="1:2" x14ac:dyDescent="0.2">
      <c r="A801" s="21">
        <v>7068922</v>
      </c>
      <c r="B801" s="18" t="str">
        <f ca="1">IFERROR(__xludf.DUMMYFUNCTION("GOOGLETRANSLATE(C4311,""en"",""hr"")"),"brtva")</f>
        <v>brtva</v>
      </c>
    </row>
    <row r="802" spans="1:2" x14ac:dyDescent="0.2">
      <c r="A802" s="21">
        <v>7068936</v>
      </c>
      <c r="B802" s="18" t="str">
        <f ca="1">IFERROR(__xludf.DUMMYFUNCTION("GOOGLETRANSLATE(C3882,""en"",""hr"")"),"Kolut kpl.")</f>
        <v>Kolut kpl.</v>
      </c>
    </row>
    <row r="803" spans="1:2" x14ac:dyDescent="0.2">
      <c r="A803" s="21">
        <v>7068940</v>
      </c>
      <c r="B803" s="18" t="str">
        <f ca="1">IFERROR(__xludf.DUMMYFUNCTION("GOOGLETRANSLATE(C6266,""en"",""hr"")"),"Kabelski svežanj (+CC)")</f>
        <v>Kabelski svežanj (+CC)</v>
      </c>
    </row>
    <row r="804" spans="1:2" x14ac:dyDescent="0.2">
      <c r="A804" s="21">
        <v>7069005</v>
      </c>
      <c r="B804" s="18" t="str">
        <f ca="1">IFERROR(__xludf.DUMMYFUNCTION("GOOGLETRANSLATE(C5244,""en"",""hr"")"),"Kabelski svežanj (+CR)")</f>
        <v>Kabelski svežanj (+CR)</v>
      </c>
    </row>
    <row r="805" spans="1:2" x14ac:dyDescent="0.2">
      <c r="A805" s="21">
        <v>7069006</v>
      </c>
      <c r="B805" s="18" t="str">
        <f ca="1">IFERROR(__xludf.DUMMYFUNCTION("GOOGLETRANSLATE(C5252,""en"",""hr"")"),"Kabelski svežanj (+CL)")</f>
        <v>Kabelski svežanj (+CL)</v>
      </c>
    </row>
    <row r="806" spans="1:2" x14ac:dyDescent="0.2">
      <c r="A806" s="21">
        <v>7069033</v>
      </c>
      <c r="B806" s="18" t="str">
        <f ca="1">IFERROR(__xludf.DUMMYFUNCTION("GOOGLETRANSLATE(C1275,""en"",""hr"")"),"Držač")</f>
        <v>Držač</v>
      </c>
    </row>
    <row r="807" spans="1:2" x14ac:dyDescent="0.2">
      <c r="A807" s="21">
        <v>7069074</v>
      </c>
      <c r="B807" s="18" t="str">
        <f ca="1">IFERROR(__xludf.DUMMYFUNCTION("GOOGLETRANSLATE(C3767,""en"",""hr"")"),"Vodena cijev")</f>
        <v>Vodena cijev</v>
      </c>
    </row>
    <row r="808" spans="1:2" x14ac:dyDescent="0.2">
      <c r="A808" s="21">
        <v>7069091</v>
      </c>
      <c r="B808" s="18" t="str">
        <f ca="1">IFERROR(__xludf.DUMMYFUNCTION("GOOGLETRANSLATE(C3766,""en"",""hr"")"),"Crijevo")</f>
        <v>Crijevo</v>
      </c>
    </row>
    <row r="809" spans="1:2" x14ac:dyDescent="0.2">
      <c r="A809" s="21">
        <v>7069094</v>
      </c>
      <c r="B809" s="18" t="str">
        <f ca="1">IFERROR(__xludf.DUMMYFUNCTION("GOOGLETRANSLATE(C45,""en"",""hr"")"),"Deflektor")</f>
        <v>Deflektor</v>
      </c>
    </row>
    <row r="810" spans="1:2" x14ac:dyDescent="0.2">
      <c r="A810" s="21">
        <v>7069102</v>
      </c>
      <c r="B810" s="18" t="str">
        <f ca="1">IFERROR(__xludf.DUMMYFUNCTION("GOOGLETRANSLATE(C247,""en"",""hr"")"),"Vodocijevni hladnjak - ulaz motora")</f>
        <v>Vodocijevni hladnjak - ulaz motora</v>
      </c>
    </row>
    <row r="811" spans="1:2" x14ac:dyDescent="0.2">
      <c r="A811" s="21">
        <v>7069114</v>
      </c>
      <c r="B811" s="18" t="str">
        <f ca="1">IFERROR(__xludf.DUMMYFUNCTION("GOOGLETRANSLATE(C1534,""en"",""hr"")"),"Ožičenje")</f>
        <v>Ožičenje</v>
      </c>
    </row>
    <row r="812" spans="1:2" x14ac:dyDescent="0.2">
      <c r="A812" s="21">
        <v>7069129</v>
      </c>
      <c r="B812" s="18" t="str">
        <f ca="1">IFERROR(__xludf.DUMMYFUNCTION("GOOGLETRANSLATE(C5794,""en"",""hr"")"),"Zupčasta pumpa")</f>
        <v>Zupčasta pumpa</v>
      </c>
    </row>
    <row r="813" spans="1:2" x14ac:dyDescent="0.2">
      <c r="A813" s="21">
        <v>7069137</v>
      </c>
      <c r="B813" s="18" t="str">
        <f ca="1">IFERROR(__xludf.DUMMYFUNCTION("GOOGLETRANSLATE(C47,""en"",""hr"")"),"Mat")</f>
        <v>Mat</v>
      </c>
    </row>
    <row r="814" spans="1:2" x14ac:dyDescent="0.2">
      <c r="A814" s="21">
        <v>7069146</v>
      </c>
      <c r="B814" s="18" t="str">
        <f ca="1">IFERROR(__xludf.DUMMYFUNCTION("GOOGLETRANSLATE(C6272,""en"",""hr"")"),"Ožičenje (+CH)")</f>
        <v>Ožičenje (+CH)</v>
      </c>
    </row>
    <row r="815" spans="1:2" x14ac:dyDescent="0.2">
      <c r="A815" s="21">
        <v>7069152</v>
      </c>
      <c r="B815" s="18" t="str">
        <f ca="1">IFERROR(__xludf.DUMMYFUNCTION("GOOGLETRANSLATE(C5788,""en"",""hr"")"),"Cijev")</f>
        <v>Cijev</v>
      </c>
    </row>
    <row r="816" spans="1:2" x14ac:dyDescent="0.2">
      <c r="A816" s="21">
        <v>7069159</v>
      </c>
      <c r="B816" s="18" t="str">
        <f ca="1">IFERROR(__xludf.DUMMYFUNCTION("GOOGLETRANSLATE(C4384,""en"",""hr"")"),"Poklopac ventilatora Assy")</f>
        <v>Poklopac ventilatora Assy</v>
      </c>
    </row>
    <row r="817" spans="1:2" x14ac:dyDescent="0.2">
      <c r="A817" s="21">
        <v>7069164</v>
      </c>
      <c r="B817" s="18" t="str">
        <f ca="1">IFERROR(__xludf.DUMMYFUNCTION("GOOGLETRANSLATE(C5787,""en"",""hr"")"),"Cijev")</f>
        <v>Cijev</v>
      </c>
    </row>
    <row r="818" spans="1:2" x14ac:dyDescent="0.2">
      <c r="A818" s="21">
        <v>7069182</v>
      </c>
      <c r="B818" s="18" t="str">
        <f ca="1">IFERROR(__xludf.DUMMYFUNCTION("GOOGLETRANSLATE(C1277,""en"",""hr"")"),"Držač")</f>
        <v>Držač</v>
      </c>
    </row>
    <row r="819" spans="1:2" x14ac:dyDescent="0.2">
      <c r="A819" s="21">
        <v>7069208</v>
      </c>
      <c r="B819" s="18" t="str">
        <f ca="1">IFERROR(__xludf.DUMMYFUNCTION("GOOGLETRANSLATE(C3414,""en"",""hr"")"),"Čahura")</f>
        <v>Čahura</v>
      </c>
    </row>
    <row r="820" spans="1:2" x14ac:dyDescent="0.2">
      <c r="A820" s="21">
        <v>7069210</v>
      </c>
      <c r="B820" s="18" t="str">
        <f ca="1">IFERROR(__xludf.DUMMYFUNCTION("GOOGLETRANSLATE(C6258,""en"",""hr"")"),"Kabelski zaslon 4,3""")</f>
        <v>Kabelski zaslon 4,3"</v>
      </c>
    </row>
    <row r="821" spans="1:2" x14ac:dyDescent="0.2">
      <c r="A821" s="21">
        <v>7069229</v>
      </c>
      <c r="B821" s="18" t="str">
        <f ca="1">IFERROR(__xludf.DUMMYFUNCTION("GOOGLETRANSLATE(C4646,""en"",""hr"")"),"Cijev")</f>
        <v>Cijev</v>
      </c>
    </row>
    <row r="822" spans="1:2" x14ac:dyDescent="0.2">
      <c r="A822" s="21">
        <v>7069230</v>
      </c>
      <c r="B822" s="18" t="str">
        <f ca="1">IFERROR(__xludf.DUMMYFUNCTION("GOOGLETRANSLATE(C4647,""en"",""hr"")"),"Cijev")</f>
        <v>Cijev</v>
      </c>
    </row>
    <row r="823" spans="1:2" x14ac:dyDescent="0.2">
      <c r="A823" s="21">
        <v>7069242</v>
      </c>
      <c r="B823" s="18" t="str">
        <f ca="1">IFERROR(__xludf.DUMMYFUNCTION("GOOGLETRANSLATE(C4545,""en"",""hr"")"),"Cijev")</f>
        <v>Cijev</v>
      </c>
    </row>
    <row r="824" spans="1:2" x14ac:dyDescent="0.2">
      <c r="A824" s="21">
        <v>7069250</v>
      </c>
      <c r="B824" s="18" t="str">
        <f ca="1">IFERROR(__xludf.DUMMYFUNCTION("GOOGLETRANSLATE(C4955,""en"",""hr"")"),"Zaštita na desnoj strani")</f>
        <v>Zaštita na desnoj strani</v>
      </c>
    </row>
    <row r="825" spans="1:2" x14ac:dyDescent="0.2">
      <c r="A825" s="21">
        <v>7069251</v>
      </c>
      <c r="B825" s="18" t="str">
        <f ca="1">IFERROR(__xludf.DUMMYFUNCTION("GOOGLETRANSLATE(C6514,""en"",""hr"")"),"Držač")</f>
        <v>Držač</v>
      </c>
    </row>
    <row r="826" spans="1:2" x14ac:dyDescent="0.2">
      <c r="A826" s="21">
        <v>7069252</v>
      </c>
      <c r="B826" s="18" t="str">
        <f ca="1">IFERROR(__xludf.DUMMYFUNCTION("GOOGLETRANSLATE(C4954,""en"",""hr"")"),"Zaštita lijevo")</f>
        <v>Zaštita lijevo</v>
      </c>
    </row>
    <row r="827" spans="1:2" x14ac:dyDescent="0.2">
      <c r="A827" s="21">
        <v>7069264</v>
      </c>
      <c r="B827" s="18" t="str">
        <f ca="1">IFERROR(__xludf.DUMMYFUNCTION("GOOGLETRANSLATE(C4542,""en"",""hr"")"),"Cijev")</f>
        <v>Cijev</v>
      </c>
    </row>
    <row r="828" spans="1:2" x14ac:dyDescent="0.2">
      <c r="A828" s="21">
        <v>7069268</v>
      </c>
      <c r="B828" s="18" t="str">
        <f ca="1">IFERROR(__xludf.DUMMYFUNCTION("GOOGLETRANSLATE(C6787,""en"",""hr"")"),"Ljepljiva ploča")</f>
        <v>Ljepljiva ploča</v>
      </c>
    </row>
    <row r="829" spans="1:2" x14ac:dyDescent="0.2">
      <c r="A829" s="21">
        <v>7069269</v>
      </c>
      <c r="B829" s="18" t="str">
        <f ca="1">IFERROR(__xludf.DUMMYFUNCTION("GOOGLETRANSLATE(C4486,""en"",""hr"")"),"Poklopac")</f>
        <v>Poklopac</v>
      </c>
    </row>
    <row r="830" spans="1:2" x14ac:dyDescent="0.2">
      <c r="A830" s="21">
        <v>7069274</v>
      </c>
      <c r="B830" s="18" t="str">
        <f ca="1">IFERROR(__xludf.DUMMYFUNCTION("GOOGLETRANSLATE(C4543,""en"",""hr"")"),"Cijev")</f>
        <v>Cijev</v>
      </c>
    </row>
    <row r="831" spans="1:2" x14ac:dyDescent="0.2">
      <c r="A831" s="21">
        <v>7069275</v>
      </c>
      <c r="B831" s="18" t="str">
        <f ca="1">IFERROR(__xludf.DUMMYFUNCTION("GOOGLETRANSLATE(C4544,""en"",""hr"")"),"Cijev")</f>
        <v>Cijev</v>
      </c>
    </row>
    <row r="832" spans="1:2" x14ac:dyDescent="0.2">
      <c r="A832" s="21">
        <v>7069282</v>
      </c>
      <c r="B832" s="18" t="str">
        <f ca="1">IFERROR(__xludf.DUMMYFUNCTION("GOOGLETRANSLATE(C4652,""en"",""hr"")"),"Cijev")</f>
        <v>Cijev</v>
      </c>
    </row>
    <row r="833" spans="1:2" x14ac:dyDescent="0.2">
      <c r="A833" s="21">
        <v>7069310</v>
      </c>
      <c r="B833" s="18" t="str">
        <f ca="1">IFERROR(__xludf.DUMMYFUNCTION("GOOGLETRANSLATE(C4483,""en"",""hr"")"),"Poklopac okvira")</f>
        <v>Poklopac okvira</v>
      </c>
    </row>
    <row r="834" spans="1:2" x14ac:dyDescent="0.2">
      <c r="A834" s="21">
        <v>7069311</v>
      </c>
      <c r="B834" s="18" t="str">
        <f ca="1">IFERROR(__xludf.DUMMYFUNCTION("GOOGLETRANSLATE(C4484,""en"",""hr"")"),"Zglobno sito")</f>
        <v>Zglobno sito</v>
      </c>
    </row>
    <row r="835" spans="1:2" x14ac:dyDescent="0.2">
      <c r="A835" s="21">
        <v>7069312</v>
      </c>
      <c r="B835" s="18" t="str">
        <f ca="1">IFERROR(__xludf.DUMMYFUNCTION("GOOGLETRANSLATE(C4485,""en"",""hr"")"),"Zasun za zaključavanje")</f>
        <v>Zasun za zaključavanje</v>
      </c>
    </row>
    <row r="836" spans="1:2" x14ac:dyDescent="0.2">
      <c r="A836" s="21">
        <v>7069313</v>
      </c>
      <c r="B836" s="18" t="str">
        <f ca="1">IFERROR(__xludf.DUMMYFUNCTION("GOOGLETRANSLATE(C4458,""en"",""hr"")"),"Poklopac okvira Assy")</f>
        <v>Poklopac okvira Assy</v>
      </c>
    </row>
    <row r="837" spans="1:2" x14ac:dyDescent="0.2">
      <c r="A837" s="21">
        <v>7069322</v>
      </c>
      <c r="B837" s="18" t="str">
        <f ca="1">IFERROR(__xludf.DUMMYFUNCTION("GOOGLETRANSLATE(C5773,""en"",""hr"")"),"Crijevo hladnjaka")</f>
        <v>Crijevo hladnjaka</v>
      </c>
    </row>
    <row r="838" spans="1:2" x14ac:dyDescent="0.2">
      <c r="A838" s="21">
        <v>7069327</v>
      </c>
      <c r="B838" s="18" t="str">
        <f ca="1">IFERROR(__xludf.DUMMYFUNCTION("GOOGLETRANSLATE(C3506,""en"",""hr"")"),"Crijevo Ø102x4")</f>
        <v>Crijevo Ø102x4</v>
      </c>
    </row>
    <row r="839" spans="1:2" x14ac:dyDescent="0.2">
      <c r="A839" s="21">
        <v>7069345</v>
      </c>
      <c r="B839" s="18" t="str">
        <f ca="1">IFERROR(__xludf.DUMMYFUNCTION("GOOGLETRANSLATE(C4461,""en"",""hr"")"),"Filter za plijesan")</f>
        <v>Filter za plijesan</v>
      </c>
    </row>
    <row r="840" spans="1:2" x14ac:dyDescent="0.2">
      <c r="A840" s="21">
        <v>7069346</v>
      </c>
      <c r="B840" s="18" t="str">
        <f ca="1">IFERROR(__xludf.DUMMYFUNCTION("GOOGLETRANSLATE(C1318,""en"",""hr"")"),"Razmakni grm")</f>
        <v>Razmakni grm</v>
      </c>
    </row>
    <row r="841" spans="1:2" x14ac:dyDescent="0.2">
      <c r="A841" s="21">
        <v>7069350</v>
      </c>
      <c r="B841" s="18" t="str">
        <f ca="1">IFERROR(__xludf.DUMMYFUNCTION("GOOGLETRANSLATE(C4460,""en"",""hr"")"),"Okvirno sito")</f>
        <v>Okvirno sito</v>
      </c>
    </row>
    <row r="842" spans="1:2" x14ac:dyDescent="0.2">
      <c r="A842" s="21">
        <v>7069351</v>
      </c>
      <c r="B842" s="18" t="str">
        <f ca="1">IFERROR(__xludf.DUMMYFUNCTION("GOOGLETRANSLATE(C4459,""en"",""hr"")"),"Filter za plijesan")</f>
        <v>Filter za plijesan</v>
      </c>
    </row>
    <row r="843" spans="1:2" x14ac:dyDescent="0.2">
      <c r="A843" s="21">
        <v>7069358</v>
      </c>
      <c r="B843" s="18" t="str">
        <f ca="1">IFERROR(__xludf.DUMMYFUNCTION("GOOGLETRANSLATE(C6280,""en"",""hr"")"),"Glavni prekidač (+O-CH)")</f>
        <v>Glavni prekidač (+O-CH)</v>
      </c>
    </row>
    <row r="844" spans="1:2" x14ac:dyDescent="0.2">
      <c r="A844" s="21">
        <v>7069359</v>
      </c>
      <c r="B844" s="18" t="str">
        <f ca="1">IFERROR(__xludf.DUMMYFUNCTION("GOOGLETRANSLATE(C6279,""en"",""hr"")"),"Kabel (+CH-P)")</f>
        <v>Kabel (+CH-P)</v>
      </c>
    </row>
    <row r="845" spans="1:2" x14ac:dyDescent="0.2">
      <c r="A845" s="21">
        <v>7069423</v>
      </c>
      <c r="B845" s="18" t="str">
        <f ca="1">IFERROR(__xludf.DUMMYFUNCTION("GOOGLETRANSLATE(C4768,""en"",""hr"")"),"Poklopac, bijeli")</f>
        <v>Poklopac, bijeli</v>
      </c>
    </row>
    <row r="846" spans="1:2" x14ac:dyDescent="0.2">
      <c r="A846" s="21">
        <v>7069425</v>
      </c>
      <c r="B846" s="18" t="str">
        <f ca="1">IFERROR(__xludf.DUMMYFUNCTION("GOOGLETRANSLATE(C4767,""en"",""hr"")"),"Poklopac, bijeli")</f>
        <v>Poklopac, bijeli</v>
      </c>
    </row>
    <row r="847" spans="1:2" x14ac:dyDescent="0.2">
      <c r="A847" s="21">
        <v>7069429</v>
      </c>
      <c r="B847" s="18" t="str">
        <f ca="1">IFERROR(__xludf.DUMMYFUNCTION("GOOGLETRANSLATE(C1903,""en"",""hr"")"),"Otpuštanje opruge bočne četke")</f>
        <v>Otpuštanje opruge bočne četke</v>
      </c>
    </row>
    <row r="848" spans="1:2" x14ac:dyDescent="0.2">
      <c r="A848" s="21">
        <v>7069447</v>
      </c>
      <c r="B848" s="18" t="str">
        <f ca="1">IFERROR(__xludf.DUMMYFUNCTION("GOOGLETRANSLATE(C4769,""en"",""hr"")"),"Poklopac, bijeli")</f>
        <v>Poklopac, bijeli</v>
      </c>
    </row>
    <row r="849" spans="1:2" x14ac:dyDescent="0.2">
      <c r="A849" s="21">
        <v>7069477</v>
      </c>
      <c r="B849" s="18" t="str">
        <f ca="1">IFERROR(__xludf.DUMMYFUNCTION("GOOGLETRANSLATE(C4870,""en"",""hr"")"),"Poklopac, bijeli")</f>
        <v>Poklopac, bijeli</v>
      </c>
    </row>
    <row r="850" spans="1:2" x14ac:dyDescent="0.2">
      <c r="A850" s="21">
        <v>7069506</v>
      </c>
      <c r="B850" s="18" t="str">
        <f ca="1">IFERROR(__xludf.DUMMYFUNCTION("GOOGLETRANSLATE(C4561,""en"",""hr"")"),"Cijev")</f>
        <v>Cijev</v>
      </c>
    </row>
    <row r="851" spans="1:2" x14ac:dyDescent="0.2">
      <c r="A851" s="21">
        <v>7069510</v>
      </c>
      <c r="B851" s="18" t="str">
        <f ca="1">IFERROR(__xludf.DUMMYFUNCTION("GOOGLETRANSLATE(C3422,""en"",""hr"")"),"Cijev")</f>
        <v>Cijev</v>
      </c>
    </row>
    <row r="852" spans="1:2" x14ac:dyDescent="0.2">
      <c r="A852" s="21">
        <v>7069528</v>
      </c>
      <c r="B852" s="18" t="str">
        <f ca="1">IFERROR(__xludf.DUMMYFUNCTION("GOOGLETRANSLATE(C5358,""en"",""hr"")"),"Ploča")</f>
        <v>Ploča</v>
      </c>
    </row>
    <row r="853" spans="1:2" x14ac:dyDescent="0.2">
      <c r="A853" s="21">
        <v>7069544</v>
      </c>
      <c r="B853" s="18" t="str">
        <f ca="1">IFERROR(__xludf.DUMMYFUNCTION("GOOGLETRANSLATE(C5797,""en"",""hr"")"),"Cijev")</f>
        <v>Cijev</v>
      </c>
    </row>
    <row r="854" spans="1:2" x14ac:dyDescent="0.2">
      <c r="A854" s="21">
        <v>7069547</v>
      </c>
      <c r="B854" s="18" t="str">
        <f ca="1">IFERROR(__xludf.DUMMYFUNCTION("GOOGLETRANSLATE(C5798,""en"",""hr"")"),"Cijev")</f>
        <v>Cijev</v>
      </c>
    </row>
    <row r="855" spans="1:2" x14ac:dyDescent="0.2">
      <c r="A855" s="21">
        <v>7069625</v>
      </c>
      <c r="B855" s="18" t="str">
        <f ca="1">IFERROR(__xludf.DUMMYFUNCTION("GOOGLETRANSLATE(C4351,""en"",""hr"")"),"Prevrtni cilindar")</f>
        <v>Prevrtni cilindar</v>
      </c>
    </row>
    <row r="856" spans="1:2" x14ac:dyDescent="0.2">
      <c r="A856" s="21">
        <v>7069626</v>
      </c>
      <c r="B856" s="18" t="str">
        <f ca="1">IFERROR(__xludf.DUMMYFUNCTION("GOOGLETRANSLATE(C4350,""en"",""hr"")"),"KGB cilindar kap.")</f>
        <v>KGB cilindar kap.</v>
      </c>
    </row>
    <row r="857" spans="1:2" x14ac:dyDescent="0.2">
      <c r="A857" s="21">
        <v>7069645</v>
      </c>
      <c r="B857" s="18" t="str">
        <f ca="1">IFERROR(__xludf.DUMMYFUNCTION("GOOGLETRANSLATE(C1558,""en"",""hr"")"),"Držač")</f>
        <v>Držač</v>
      </c>
    </row>
    <row r="858" spans="1:2" x14ac:dyDescent="0.2">
      <c r="A858" s="21">
        <v>7069662</v>
      </c>
      <c r="B858" s="18" t="str">
        <f ca="1">IFERROR(__xludf.DUMMYFUNCTION("GOOGLETRANSLATE(C5847,""en"",""hr"")"),"Cijev")</f>
        <v>Cijev</v>
      </c>
    </row>
    <row r="859" spans="1:2" x14ac:dyDescent="0.2">
      <c r="A859" s="21">
        <v>7069666</v>
      </c>
      <c r="B859" s="18" t="str">
        <f ca="1">IFERROR(__xludf.DUMMYFUNCTION("GOOGLETRANSLATE(C5848,""en"",""hr"")"),"Cijev")</f>
        <v>Cijev</v>
      </c>
    </row>
    <row r="860" spans="1:2" x14ac:dyDescent="0.2">
      <c r="A860" s="21">
        <v>7069670</v>
      </c>
      <c r="B860" s="18" t="str">
        <f ca="1">IFERROR(__xludf.DUMMYFUNCTION("GOOGLETRANSLATE(C3423,""en"",""hr"")"),"Kontrolni blok")</f>
        <v>Kontrolni blok</v>
      </c>
    </row>
    <row r="861" spans="1:2" x14ac:dyDescent="0.2">
      <c r="A861" s="21">
        <v>7069715</v>
      </c>
      <c r="B861" s="18" t="str">
        <f ca="1">IFERROR(__xludf.DUMMYFUNCTION("GOOGLETRANSLATE(C4352,""en"",""hr"")"),"Cijev")</f>
        <v>Cijev</v>
      </c>
    </row>
    <row r="862" spans="1:2" x14ac:dyDescent="0.2">
      <c r="A862" s="21">
        <v>7069725</v>
      </c>
      <c r="B862" s="18" t="str">
        <f ca="1">IFERROR(__xludf.DUMMYFUNCTION("GOOGLETRANSLATE(C4566,""en"",""hr"")"),"Hidraulično crijevo")</f>
        <v>Hidraulično crijevo</v>
      </c>
    </row>
    <row r="863" spans="1:2" x14ac:dyDescent="0.2">
      <c r="A863" s="21">
        <v>7069726</v>
      </c>
      <c r="B863" s="18" t="str">
        <f ca="1">IFERROR(__xludf.DUMMYFUNCTION("GOOGLETRANSLATE(C4565,""en"",""hr"")"),"Hidraulično crijevo")</f>
        <v>Hidraulično crijevo</v>
      </c>
    </row>
    <row r="864" spans="1:2" x14ac:dyDescent="0.2">
      <c r="A864" s="21">
        <v>7069727</v>
      </c>
      <c r="B864" s="18" t="str">
        <f ca="1">IFERROR(__xludf.DUMMYFUNCTION("GOOGLETRANSLATE(C4564,""en"",""hr"")"),"Hidraulično crijevo")</f>
        <v>Hidraulično crijevo</v>
      </c>
    </row>
    <row r="865" spans="1:2" x14ac:dyDescent="0.2">
      <c r="A865" s="21">
        <v>7069728</v>
      </c>
      <c r="B865" s="18" t="str">
        <f ca="1">IFERROR(__xludf.DUMMYFUNCTION("GOOGLETRANSLATE(C4567,""en"",""hr"")"),"Hidraulično crijevo")</f>
        <v>Hidraulično crijevo</v>
      </c>
    </row>
    <row r="866" spans="1:2" x14ac:dyDescent="0.2">
      <c r="A866" s="21">
        <v>7069755</v>
      </c>
      <c r="B866" s="18" t="str">
        <f ca="1">IFERROR(__xludf.DUMMYFUNCTION("GOOGLETRANSLATE(C5479,""en"",""hr"")"),"Držač")</f>
        <v>Držač</v>
      </c>
    </row>
    <row r="867" spans="1:2" x14ac:dyDescent="0.2">
      <c r="A867" s="21">
        <v>7069776</v>
      </c>
      <c r="B867" s="18" t="str">
        <f ca="1">IFERROR(__xludf.DUMMYFUNCTION("GOOGLETRANSLATE(C514,""en"",""hr"")"),"Crijevo")</f>
        <v>Crijevo</v>
      </c>
    </row>
    <row r="868" spans="1:2" x14ac:dyDescent="0.2">
      <c r="A868" s="21">
        <v>7069777</v>
      </c>
      <c r="B868" s="18" t="str">
        <f ca="1">IFERROR(__xludf.DUMMYFUNCTION("GOOGLETRANSLATE(C431,""en"",""hr"")"),"Hidraulično crijevo")</f>
        <v>Hidraulično crijevo</v>
      </c>
    </row>
    <row r="869" spans="1:2" x14ac:dyDescent="0.2">
      <c r="A869" s="21">
        <v>7069788</v>
      </c>
      <c r="B869" s="18" t="str">
        <f ca="1">IFERROR(__xludf.DUMMYFUNCTION("GOOGLETRANSLATE(C301,""en"",""hr"")"),"Držač hidraulički lijevi")</f>
        <v>Držač hidraulički lijevi</v>
      </c>
    </row>
    <row r="870" spans="1:2" x14ac:dyDescent="0.2">
      <c r="A870" s="21">
        <v>7069805</v>
      </c>
      <c r="B870" s="18" t="str">
        <f ca="1">IFERROR(__xludf.DUMMYFUNCTION("GOOGLETRANSLATE(C432,""en"",""hr"")"),"Hidraulično crijevo")</f>
        <v>Hidraulično crijevo</v>
      </c>
    </row>
    <row r="871" spans="1:2" x14ac:dyDescent="0.2">
      <c r="A871" s="21">
        <v>7069809</v>
      </c>
      <c r="B871" s="18" t="str">
        <f ca="1">IFERROR(__xludf.DUMMYFUNCTION("GOOGLETRANSLATE(C5262,""en"",""hr"")"),"Zbrinjavanje držača grede")</f>
        <v>Zbrinjavanje držača grede</v>
      </c>
    </row>
    <row r="872" spans="1:2" x14ac:dyDescent="0.2">
      <c r="A872" s="21">
        <v>7069847</v>
      </c>
      <c r="B872" s="18" t="str">
        <f ca="1">IFERROR(__xludf.DUMMYFUNCTION("GOOGLETRANSLATE(C5261,""en"",""hr"")"),"Držač")</f>
        <v>Držač</v>
      </c>
    </row>
    <row r="873" spans="1:2" x14ac:dyDescent="0.2">
      <c r="A873" s="21">
        <v>7069876</v>
      </c>
      <c r="B873" s="18" t="str">
        <f ca="1">IFERROR(__xludf.DUMMYFUNCTION("GOOGLETRANSLATE(C5260,""en"",""hr"")"),"Držač")</f>
        <v>Držač</v>
      </c>
    </row>
    <row r="874" spans="1:2" x14ac:dyDescent="0.2">
      <c r="A874" s="21">
        <v>7069883</v>
      </c>
      <c r="B874" s="18" t="str">
        <f ca="1">IFERROR(__xludf.DUMMYFUNCTION("GOOGLETRANSLATE(C5256,""en"",""hr"")"),"Zvjezdasta ručka")</f>
        <v>Zvjezdasta ručka</v>
      </c>
    </row>
    <row r="875" spans="1:2" x14ac:dyDescent="0.2">
      <c r="A875" s="21">
        <v>7069897</v>
      </c>
      <c r="B875" s="18" t="str">
        <f ca="1">IFERROR(__xludf.DUMMYFUNCTION("GOOGLETRANSLATE(C29,""en"",""hr"")"),"brtva")</f>
        <v>brtva</v>
      </c>
    </row>
    <row r="876" spans="1:2" x14ac:dyDescent="0.2">
      <c r="A876" s="21">
        <v>7069915</v>
      </c>
      <c r="B876" s="18" t="str">
        <f ca="1">IFERROR(__xludf.DUMMYFUNCTION("GOOGLETRANSLATE(C5799,""en"",""hr"")"),"Prsten, odstojnik 20x13x2.5")</f>
        <v>Prsten, odstojnik 20x13x2.5</v>
      </c>
    </row>
    <row r="877" spans="1:2" x14ac:dyDescent="0.2">
      <c r="A877" s="21">
        <v>7070002</v>
      </c>
      <c r="B877" s="18" t="str">
        <f ca="1">IFERROR(__xludf.DUMMYFUNCTION("GOOGLETRANSLATE(C5354,""en"",""hr"")"),"Čahura")</f>
        <v>Čahura</v>
      </c>
    </row>
    <row r="878" spans="1:2" x14ac:dyDescent="0.2">
      <c r="A878" s="21">
        <v>7070043</v>
      </c>
      <c r="B878" s="18" t="str">
        <f ca="1">IFERROR(__xludf.DUMMYFUNCTION("GOOGLETRANSLATE(C5284,""en"",""hr"")"),"Oplata")</f>
        <v>Oplata</v>
      </c>
    </row>
    <row r="879" spans="1:2" x14ac:dyDescent="0.2">
      <c r="A879" s="21">
        <v>7070122</v>
      </c>
      <c r="B879" s="18" t="str">
        <f ca="1">IFERROR(__xludf.DUMMYFUNCTION("GOOGLETRANSLATE(C4894,""en"",""hr"")"),"Razmaknica")</f>
        <v>Razmaknica</v>
      </c>
    </row>
    <row r="880" spans="1:2" x14ac:dyDescent="0.2">
      <c r="A880" s="21">
        <v>7070123</v>
      </c>
      <c r="B880" s="18" t="str">
        <f ca="1">IFERROR(__xludf.DUMMYFUNCTION("GOOGLETRANSLATE(C4893,""en"",""hr"")"),"režanj")</f>
        <v>režanj</v>
      </c>
    </row>
    <row r="881" spans="1:2" x14ac:dyDescent="0.2">
      <c r="A881" s="21">
        <v>7070140</v>
      </c>
      <c r="B881" s="18" t="str">
        <f ca="1">IFERROR(__xludf.DUMMYFUNCTION("GOOGLETRANSLATE(C4896,""en"",""hr"")"),"Držač")</f>
        <v>Držač</v>
      </c>
    </row>
    <row r="882" spans="1:2" x14ac:dyDescent="0.2">
      <c r="A882" s="21">
        <v>7070160</v>
      </c>
      <c r="B882" s="18" t="str">
        <f ca="1">IFERROR(__xludf.DUMMYFUNCTION("GOOGLETRANSLATE(C5241,""en"",""hr"")"),"Utorna matica")</f>
        <v>Utorna matica</v>
      </c>
    </row>
    <row r="883" spans="1:2" x14ac:dyDescent="0.2">
      <c r="A883" s="21">
        <v>7070161</v>
      </c>
      <c r="B883" s="18" t="str">
        <f ca="1">IFERROR(__xludf.DUMMYFUNCTION("GOOGLETRANSLATE(C5242,""en"",""hr"")"),"Čahura")</f>
        <v>Čahura</v>
      </c>
    </row>
    <row r="884" spans="1:2" x14ac:dyDescent="0.2">
      <c r="A884" s="21">
        <v>7070162</v>
      </c>
      <c r="B884" s="18" t="str">
        <f ca="1">IFERROR(__xludf.DUMMYFUNCTION("GOOGLETRANSLATE(C5245,""en"",""hr"")"),"Poklopna ploča")</f>
        <v>Poklopna ploča</v>
      </c>
    </row>
    <row r="885" spans="1:2" x14ac:dyDescent="0.2">
      <c r="A885" s="21">
        <v>7070209</v>
      </c>
      <c r="B885" s="18" t="str">
        <f ca="1">IFERROR(__xludf.DUMMYFUNCTION("GOOGLETRANSLATE(C2258,""en"",""hr"")"),"Konzola četke, lijevo")</f>
        <v>Konzola četke, lijevo</v>
      </c>
    </row>
    <row r="886" spans="1:2" x14ac:dyDescent="0.2">
      <c r="A886" s="21">
        <v>7070218</v>
      </c>
      <c r="B886" s="18" t="str">
        <f ca="1">IFERROR(__xludf.DUMMYFUNCTION("GOOGLETRANSLATE(C2257,""en"",""hr"")"),"Konzola za četke, desno")</f>
        <v>Konzola za četke, desno</v>
      </c>
    </row>
    <row r="887" spans="1:2" x14ac:dyDescent="0.2">
      <c r="A887" s="21">
        <v>7070230</v>
      </c>
      <c r="B887" s="18" t="str">
        <f ca="1">IFERROR(__xludf.DUMMYFUNCTION("GOOGLETRANSLATE(C1478,""en"",""hr"")"),"Ručka")</f>
        <v>Ručka</v>
      </c>
    </row>
    <row r="888" spans="1:2" x14ac:dyDescent="0.2">
      <c r="A888" s="21">
        <v>7070233</v>
      </c>
      <c r="B888" s="18" t="str">
        <f ca="1">IFERROR(__xludf.DUMMYFUNCTION("GOOGLETRANSLATE(C1476,""en"",""hr"")"),"Ručka")</f>
        <v>Ručka</v>
      </c>
    </row>
    <row r="889" spans="1:2" x14ac:dyDescent="0.2">
      <c r="A889" s="21">
        <v>7070272</v>
      </c>
      <c r="B889" s="18" t="str">
        <f ca="1">IFERROR(__xludf.DUMMYFUNCTION("GOOGLETRANSLATE(C2796,""en"",""hr"")"),"Crijevo")</f>
        <v>Crijevo</v>
      </c>
    </row>
    <row r="890" spans="1:2" x14ac:dyDescent="0.2">
      <c r="A890" s="21">
        <v>7070276</v>
      </c>
      <c r="B890" s="18" t="str">
        <f ca="1">IFERROR(__xludf.DUMMYFUNCTION("GOOGLETRANSLATE(C2792,""en"",""hr"")"),"Crijevo")</f>
        <v>Crijevo</v>
      </c>
    </row>
    <row r="891" spans="1:2" x14ac:dyDescent="0.2">
      <c r="A891" s="21">
        <v>7070278</v>
      </c>
      <c r="B891" s="18" t="str">
        <f ca="1">IFERROR(__xludf.DUMMYFUNCTION("GOOGLETRANSLATE(C2803,""en"",""hr"")"),"Crijevo")</f>
        <v>Crijevo</v>
      </c>
    </row>
    <row r="892" spans="1:2" x14ac:dyDescent="0.2">
      <c r="A892" s="21">
        <v>7070279</v>
      </c>
      <c r="B892" s="18" t="str">
        <f ca="1">IFERROR(__xludf.DUMMYFUNCTION("GOOGLETRANSLATE(C2804,""en"",""hr"")"),"Crijevo")</f>
        <v>Crijevo</v>
      </c>
    </row>
    <row r="893" spans="1:2" x14ac:dyDescent="0.2">
      <c r="A893" s="21">
        <v>7070282</v>
      </c>
      <c r="B893" s="18" t="str">
        <f ca="1">IFERROR(__xludf.DUMMYFUNCTION("GOOGLETRANSLATE(C5772,""en"",""hr"")"),"Cijev")</f>
        <v>Cijev</v>
      </c>
    </row>
    <row r="894" spans="1:2" x14ac:dyDescent="0.2">
      <c r="A894" s="21">
        <v>7070291</v>
      </c>
      <c r="B894" s="18" t="str">
        <f ca="1">IFERROR(__xludf.DUMMYFUNCTION("GOOGLETRANSLATE(C5807,""en"",""hr"")"),"brtva")</f>
        <v>brtva</v>
      </c>
    </row>
    <row r="895" spans="1:2" x14ac:dyDescent="0.2">
      <c r="A895" s="21">
        <v>7070304</v>
      </c>
      <c r="B895" s="18" t="str">
        <f ca="1">IFERROR(__xludf.DUMMYFUNCTION("GOOGLETRANSLATE(C3714,""en"",""hr"")"),"Cijev mlaznice LH")</f>
        <v>Cijev mlaznice LH</v>
      </c>
    </row>
    <row r="896" spans="1:2" x14ac:dyDescent="0.2">
      <c r="A896" s="21">
        <v>7070306</v>
      </c>
      <c r="B896" s="18" t="str">
        <f ca="1">IFERROR(__xludf.DUMMYFUNCTION("GOOGLETRANSLATE(C3715,""en"",""hr"")"),"Cijev mlaznice RH")</f>
        <v>Cijev mlaznice RH</v>
      </c>
    </row>
    <row r="897" spans="1:2" x14ac:dyDescent="0.2">
      <c r="A897" s="21">
        <v>7070307</v>
      </c>
      <c r="B897" s="18" t="str">
        <f ca="1">IFERROR(__xludf.DUMMYFUNCTION("GOOGLETRANSLATE(C3717,""en"",""hr"")"),"Cijev mlaznice")</f>
        <v>Cijev mlaznice</v>
      </c>
    </row>
    <row r="898" spans="1:2" x14ac:dyDescent="0.2">
      <c r="A898" s="21">
        <v>7070334</v>
      </c>
      <c r="B898" s="18" t="str">
        <f ca="1">IFERROR(__xludf.DUMMYFUNCTION("GOOGLETRANSLATE(C1278,""en"",""hr"")"),"Držač")</f>
        <v>Držač</v>
      </c>
    </row>
    <row r="899" spans="1:2" x14ac:dyDescent="0.2">
      <c r="A899" s="21">
        <v>7070356</v>
      </c>
      <c r="B899" s="18" t="str">
        <f ca="1">IFERROR(__xludf.DUMMYFUNCTION("GOOGLETRANSLATE(C3720,""en"",""hr"")"),"Držač")</f>
        <v>Držač</v>
      </c>
    </row>
    <row r="900" spans="1:2" x14ac:dyDescent="0.2">
      <c r="A900" s="21">
        <v>7070367</v>
      </c>
      <c r="B900" s="18" t="str">
        <f ca="1">IFERROR(__xludf.DUMMYFUNCTION("GOOGLETRANSLATE(C6040,""en"",""hr"")"),"Hidraulično crijevo")</f>
        <v>Hidraulično crijevo</v>
      </c>
    </row>
    <row r="901" spans="1:2" x14ac:dyDescent="0.2">
      <c r="A901" s="21">
        <v>7070377</v>
      </c>
      <c r="B901" s="18" t="str">
        <f ca="1">IFERROR(__xludf.DUMMYFUNCTION("GOOGLETRANSLATE(C6041,""en"",""hr"")"),"Hidraulično crijevo")</f>
        <v>Hidraulično crijevo</v>
      </c>
    </row>
    <row r="902" spans="1:2" x14ac:dyDescent="0.2">
      <c r="A902" s="21">
        <v>7070405</v>
      </c>
      <c r="B902" s="18" t="str">
        <f ca="1">IFERROR(__xludf.DUMMYFUNCTION("GOOGLETRANSLATE(C916,""en"",""hr"")"),"Gumeni nosač")</f>
        <v>Gumeni nosač</v>
      </c>
    </row>
    <row r="903" spans="1:2" x14ac:dyDescent="0.2">
      <c r="A903" s="21">
        <v>7070416</v>
      </c>
      <c r="B903" s="18" t="str">
        <f ca="1">IFERROR(__xludf.DUMMYFUNCTION("GOOGLETRANSLATE(C6087,""en"",""hr"")"),"Hidraulično crijevo")</f>
        <v>Hidraulično crijevo</v>
      </c>
    </row>
    <row r="904" spans="1:2" x14ac:dyDescent="0.2">
      <c r="A904" s="21">
        <v>7070483</v>
      </c>
      <c r="B904" s="18" t="str">
        <f ca="1">IFERROR(__xludf.DUMMYFUNCTION("GOOGLETRANSLATE(C6518,""en"",""hr"")"),"Držač")</f>
        <v>Držač</v>
      </c>
    </row>
    <row r="905" spans="1:2" x14ac:dyDescent="0.2">
      <c r="A905" s="21">
        <v>7070563</v>
      </c>
      <c r="B905" s="18" t="str">
        <f ca="1">IFERROR(__xludf.DUMMYFUNCTION("GOOGLETRANSLATE(C1067,""en"",""hr"")"),"Cijev")</f>
        <v>Cijev</v>
      </c>
    </row>
    <row r="906" spans="1:2" x14ac:dyDescent="0.2">
      <c r="A906" s="21">
        <v>7070639</v>
      </c>
      <c r="B906" s="18" t="str">
        <f ca="1">IFERROR(__xludf.DUMMYFUNCTION("GOOGLETRANSLATE(C497,""en"",""hr"")"),"Montaža opružne stezaljke Cpl.")</f>
        <v>Montaža opružne stezaljke Cpl.</v>
      </c>
    </row>
    <row r="907" spans="1:2" x14ac:dyDescent="0.2">
      <c r="A907" s="21">
        <v>7070642</v>
      </c>
      <c r="B907" s="18" t="str">
        <f ca="1">IFERROR(__xludf.DUMMYFUNCTION("GOOGLETRANSLATE(C6784,""en"",""hr"")"),"Ljepljiva ploča")</f>
        <v>Ljepljiva ploča</v>
      </c>
    </row>
    <row r="908" spans="1:2" x14ac:dyDescent="0.2">
      <c r="A908" s="21">
        <v>7070643</v>
      </c>
      <c r="B908" s="18" t="str">
        <f ca="1">IFERROR(__xludf.DUMMYFUNCTION("GOOGLETRANSLATE(C6783,""en"",""hr"")"),"Ljepljiva ploča")</f>
        <v>Ljepljiva ploča</v>
      </c>
    </row>
    <row r="909" spans="1:2" x14ac:dyDescent="0.2">
      <c r="A909" s="21">
        <v>7070644</v>
      </c>
      <c r="B909" s="18" t="str">
        <f ca="1">IFERROR(__xludf.DUMMYFUNCTION("GOOGLETRANSLATE(C6772,""en"",""hr"")"),"Ljepljiva ploča")</f>
        <v>Ljepljiva ploča</v>
      </c>
    </row>
    <row r="910" spans="1:2" x14ac:dyDescent="0.2">
      <c r="A910" s="21">
        <v>7070693</v>
      </c>
      <c r="B910" s="18" t="str">
        <f ca="1">IFERROR(__xludf.DUMMYFUNCTION("GOOGLETRANSLATE(C2149,""en"",""hr"")"),"Cijev")</f>
        <v>Cijev</v>
      </c>
    </row>
    <row r="911" spans="1:2" x14ac:dyDescent="0.2">
      <c r="A911" s="21">
        <v>7070694</v>
      </c>
      <c r="B911" s="18" t="str">
        <f ca="1">IFERROR(__xludf.DUMMYFUNCTION("GOOGLETRANSLATE(C2392,""en"",""hr"")"),"Cijev")</f>
        <v>Cijev</v>
      </c>
    </row>
    <row r="912" spans="1:2" x14ac:dyDescent="0.2">
      <c r="A912" s="21">
        <v>7070695</v>
      </c>
      <c r="B912" s="18" t="str">
        <f ca="1">IFERROR(__xludf.DUMMYFUNCTION("GOOGLETRANSLATE(C2393,""en"",""hr"")"),"Cijev")</f>
        <v>Cijev</v>
      </c>
    </row>
    <row r="913" spans="1:2" x14ac:dyDescent="0.2">
      <c r="A913" s="21">
        <v>7070973</v>
      </c>
      <c r="B913" s="18" t="str">
        <f ca="1">IFERROR(__xludf.DUMMYFUNCTION("GOOGLETRANSLATE(C4334,""en"",""hr"")"),"Čuvar Assy")</f>
        <v>Čuvar Assy</v>
      </c>
    </row>
    <row r="914" spans="1:2" x14ac:dyDescent="0.2">
      <c r="A914" s="21">
        <v>7070990</v>
      </c>
      <c r="B914" s="18" t="str">
        <f ca="1">IFERROR(__xludf.DUMMYFUNCTION("GOOGLETRANSLATE(C3405,""en"",""hr"")"),"Vratilo")</f>
        <v>Vratilo</v>
      </c>
    </row>
    <row r="915" spans="1:2" x14ac:dyDescent="0.2">
      <c r="A915" s="21">
        <v>7071022</v>
      </c>
      <c r="B915" s="18" t="str">
        <f ca="1">IFERROR(__xludf.DUMMYFUNCTION("GOOGLETRANSLATE(C5239,""en"",""hr"")"),"Naslon za ruku povučen / gurnut četkom")</f>
        <v>Naslon za ruku povučen / gurnut četkom</v>
      </c>
    </row>
    <row r="916" spans="1:2" x14ac:dyDescent="0.2">
      <c r="A916" s="21">
        <v>7071204</v>
      </c>
      <c r="B916" s="18" t="str">
        <f ca="1">IFERROR(__xludf.DUMMYFUNCTION("GOOGLETRANSLATE(C5243,""en"",""hr"")"),"Vodeća ploča")</f>
        <v>Vodeća ploča</v>
      </c>
    </row>
    <row r="917" spans="1:2" x14ac:dyDescent="0.2">
      <c r="A917" s="21">
        <v>7071220</v>
      </c>
      <c r="B917" s="18" t="str">
        <f ca="1">IFERROR(__xludf.DUMMYFUNCTION("GOOGLETRANSLATE(C731,""en"",""hr"")"),"Čahura")</f>
        <v>Čahura</v>
      </c>
    </row>
    <row r="918" spans="1:2" x14ac:dyDescent="0.2">
      <c r="A918" s="21">
        <v>7071230</v>
      </c>
      <c r="B918" s="18" t="str">
        <f ca="1">IFERROR(__xludf.DUMMYFUNCTION("GOOGLETRANSLATE(C5253,""en"",""hr"")"),"Obloga vrata")</f>
        <v>Obloga vrata</v>
      </c>
    </row>
    <row r="919" spans="1:2" x14ac:dyDescent="0.2">
      <c r="A919" s="21">
        <v>7071231</v>
      </c>
      <c r="B919" s="18" t="str">
        <f ca="1">IFERROR(__xludf.DUMMYFUNCTION("GOOGLETRANSLATE(C5236,""en"",""hr"")"),"Oplata")</f>
        <v>Oplata</v>
      </c>
    </row>
    <row r="920" spans="1:2" x14ac:dyDescent="0.2">
      <c r="A920" s="21">
        <v>7071233</v>
      </c>
      <c r="B920" s="18" t="str">
        <f ca="1">IFERROR(__xludf.DUMMYFUNCTION("GOOGLETRANSLATE(C5247,""en"",""hr"")"),"Obloga vrata")</f>
        <v>Obloga vrata</v>
      </c>
    </row>
    <row r="921" spans="1:2" x14ac:dyDescent="0.2">
      <c r="A921" s="21">
        <v>7071240</v>
      </c>
      <c r="B921" s="18" t="str">
        <f ca="1">IFERROR(__xludf.DUMMYFUNCTION("GOOGLETRANSLATE(C4999,""en"",""hr"")"),"Vrata lijevo")</f>
        <v>Vrata lijevo</v>
      </c>
    </row>
    <row r="922" spans="1:2" x14ac:dyDescent="0.2">
      <c r="A922" s="21">
        <v>7071241</v>
      </c>
      <c r="B922" s="18" t="str">
        <f ca="1">IFERROR(__xludf.DUMMYFUNCTION("GOOGLETRANSLATE(C5000,""en"",""hr"")"),"Vrata desna")</f>
        <v>Vrata desna</v>
      </c>
    </row>
    <row r="923" spans="1:2" x14ac:dyDescent="0.2">
      <c r="A923" s="21">
        <v>7071244</v>
      </c>
      <c r="B923" s="18" t="str">
        <f ca="1">IFERROR(__xludf.DUMMYFUNCTION("GOOGLETRANSLATE(C6286,""en"",""hr"")"),"Ožičenje (+B-HO)")</f>
        <v>Ožičenje (+B-HO)</v>
      </c>
    </row>
    <row r="924" spans="1:2" x14ac:dyDescent="0.2">
      <c r="A924" s="21">
        <v>7071259</v>
      </c>
      <c r="B924" s="18" t="str">
        <f ca="1">IFERROR(__xludf.DUMMYFUNCTION("GOOGLETRANSLATE(C6269,""en"",""hr"")"),"Kabel (+SC)")</f>
        <v>Kabel (+SC)</v>
      </c>
    </row>
    <row r="925" spans="1:2" x14ac:dyDescent="0.2">
      <c r="A925" s="21">
        <v>7071261</v>
      </c>
      <c r="B925" s="18" t="str">
        <f ca="1">IFERROR(__xludf.DUMMYFUNCTION("GOOGLETRANSLATE(C6305,""en"",""hr"")"),"Kabelski svežanj (+PP-EV)")</f>
        <v>Kabelski svežanj (+PP-EV)</v>
      </c>
    </row>
    <row r="926" spans="1:2" x14ac:dyDescent="0.2">
      <c r="A926" s="21">
        <v>7071262</v>
      </c>
      <c r="B926" s="18" t="str">
        <f ca="1">IFERROR(__xludf.DUMMYFUNCTION("GOOGLETRANSLATE(C6277,""en"",""hr"")"),"Kabel (+CH-P)")</f>
        <v>Kabel (+CH-P)</v>
      </c>
    </row>
    <row r="927" spans="1:2" x14ac:dyDescent="0.2">
      <c r="A927" s="21">
        <v>7071267</v>
      </c>
      <c r="B927" s="18" t="str">
        <f ca="1">IFERROR(__xludf.DUMMYFUNCTION("GOOGLETRANSLATE(C5228,""en"",""hr"")"),"Tenk")</f>
        <v>Tenk</v>
      </c>
    </row>
    <row r="928" spans="1:2" x14ac:dyDescent="0.2">
      <c r="A928" s="21">
        <v>7071268</v>
      </c>
      <c r="B928" s="18" t="str">
        <f ca="1">IFERROR(__xludf.DUMMYFUNCTION("GOOGLETRANSLATE(C32,""en"",""hr"")"),"Sklop senzora")</f>
        <v>Sklop senzora</v>
      </c>
    </row>
    <row r="929" spans="1:2" x14ac:dyDescent="0.2">
      <c r="A929" s="21">
        <v>7071269</v>
      </c>
      <c r="B929" s="18" t="str">
        <f ca="1">IFERROR(__xludf.DUMMYFUNCTION("GOOGLETRANSLATE(C31,""en"",""hr"")"),"Kompenzacijski rezervoar")</f>
        <v>Kompenzacijski rezervoar</v>
      </c>
    </row>
    <row r="930" spans="1:2" x14ac:dyDescent="0.2">
      <c r="A930" s="21">
        <v>7071285</v>
      </c>
      <c r="B930" s="18" t="str">
        <f ca="1">IFERROR(__xludf.DUMMYFUNCTION("GOOGLETRANSLATE(C6647,""en"",""hr"")"),"Osovina šuplja")</f>
        <v>Osovina šuplja</v>
      </c>
    </row>
    <row r="931" spans="1:2" x14ac:dyDescent="0.2">
      <c r="A931" s="21">
        <v>7071295</v>
      </c>
      <c r="B931" s="18" t="str">
        <f ca="1">IFERROR(__xludf.DUMMYFUNCTION("GOOGLETRANSLATE(C6645,""en"",""hr"")"),"Držač")</f>
        <v>Držač</v>
      </c>
    </row>
    <row r="932" spans="1:2" x14ac:dyDescent="0.2">
      <c r="A932" s="21">
        <v>7071301</v>
      </c>
      <c r="B932" s="18" t="str">
        <f ca="1">IFERROR(__xludf.DUMMYFUNCTION("GOOGLETRANSLATE(C3110,""en"",""hr"")"),"Usisni poklopac za usta")</f>
        <v>Usisni poklopac za usta</v>
      </c>
    </row>
    <row r="933" spans="1:2" x14ac:dyDescent="0.2">
      <c r="A933" s="21">
        <v>7071385</v>
      </c>
      <c r="B933" s="18" t="str">
        <f ca="1">IFERROR(__xludf.DUMMYFUNCTION("GOOGLETRANSLATE(C2046,""en"",""hr"")"),"Plinski cilindar")</f>
        <v>Plinski cilindar</v>
      </c>
    </row>
    <row r="934" spans="1:2" x14ac:dyDescent="0.2">
      <c r="A934" s="21">
        <v>7071386</v>
      </c>
      <c r="B934" s="18" t="str">
        <f ca="1">IFERROR(__xludf.DUMMYFUNCTION("GOOGLETRANSLATE(C61,""en"",""hr"")"),"Amortizer")</f>
        <v>Amortizer</v>
      </c>
    </row>
    <row r="935" spans="1:2" x14ac:dyDescent="0.2">
      <c r="A935" s="21">
        <v>7071454</v>
      </c>
      <c r="B935" s="18" t="str">
        <f ca="1">IFERROR(__xludf.DUMMYFUNCTION("GOOGLETRANSLATE(C6782,""en"",""hr"")"),"Ljepljiva ploča")</f>
        <v>Ljepljiva ploča</v>
      </c>
    </row>
    <row r="936" spans="1:2" x14ac:dyDescent="0.2">
      <c r="A936" s="21">
        <v>7071455</v>
      </c>
      <c r="B936" s="18" t="str">
        <f ca="1">IFERROR(__xludf.DUMMYFUNCTION("GOOGLETRANSLATE(C6780,""en"",""hr"")"),"Ljepljiva ploča")</f>
        <v>Ljepljiva ploča</v>
      </c>
    </row>
    <row r="937" spans="1:2" x14ac:dyDescent="0.2">
      <c r="A937" s="21">
        <v>7071456</v>
      </c>
      <c r="B937" s="18" t="str">
        <f ca="1">IFERROR(__xludf.DUMMYFUNCTION("GOOGLETRANSLATE(C6774,""en"",""hr"")"),"Ljepljiva ploča")</f>
        <v>Ljepljiva ploča</v>
      </c>
    </row>
    <row r="938" spans="1:2" x14ac:dyDescent="0.2">
      <c r="A938" s="21">
        <v>7071457</v>
      </c>
      <c r="B938" s="18" t="str">
        <f ca="1">IFERROR(__xludf.DUMMYFUNCTION("GOOGLETRANSLATE(C6792,""en"",""hr"")"),"Ljepljiva ploča")</f>
        <v>Ljepljiva ploča</v>
      </c>
    </row>
    <row r="939" spans="1:2" x14ac:dyDescent="0.2">
      <c r="A939" s="21">
        <v>7071458</v>
      </c>
      <c r="B939" s="18" t="str">
        <f ca="1">IFERROR(__xludf.DUMMYFUNCTION("GOOGLETRANSLATE(C6778,""en"",""hr"")"),"Ljepljiva ploča")</f>
        <v>Ljepljiva ploča</v>
      </c>
    </row>
    <row r="940" spans="1:2" x14ac:dyDescent="0.2">
      <c r="A940" s="21">
        <v>7071459</v>
      </c>
      <c r="B940" s="18" t="str">
        <f ca="1">IFERROR(__xludf.DUMMYFUNCTION("GOOGLETRANSLATE(C6765,""en"",""hr"")"),"Ljepljiva ploča")</f>
        <v>Ljepljiva ploča</v>
      </c>
    </row>
    <row r="941" spans="1:2" x14ac:dyDescent="0.2">
      <c r="A941" s="21">
        <v>7071460</v>
      </c>
      <c r="B941" s="18" t="str">
        <f ca="1">IFERROR(__xludf.DUMMYFUNCTION("GOOGLETRANSLATE(C6788,""en"",""hr"")"),"Ljepljiva ploča")</f>
        <v>Ljepljiva ploča</v>
      </c>
    </row>
    <row r="942" spans="1:2" x14ac:dyDescent="0.2">
      <c r="A942" s="21">
        <v>7071484</v>
      </c>
      <c r="B942" s="18" t="str">
        <f ca="1">IFERROR(__xludf.DUMMYFUNCTION("GOOGLETRANSLATE(C6776,""en"",""hr"")"),"Ljepljiva ploča")</f>
        <v>Ljepljiva ploča</v>
      </c>
    </row>
    <row r="943" spans="1:2" x14ac:dyDescent="0.2">
      <c r="A943" s="21">
        <v>7071496</v>
      </c>
      <c r="B943" s="18" t="str">
        <f ca="1">IFERROR(__xludf.DUMMYFUNCTION("GOOGLETRANSLATE(C4743,""en"",""hr"")"),"korice, bijele")</f>
        <v>korice, bijele</v>
      </c>
    </row>
    <row r="944" spans="1:2" x14ac:dyDescent="0.2">
      <c r="A944" s="21">
        <v>7071497</v>
      </c>
      <c r="B944" s="18" t="str">
        <f ca="1">IFERROR(__xludf.DUMMYFUNCTION("GOOGLETRANSLATE(C4744,""en"",""hr"")"),"Poklopac, bijeli")</f>
        <v>Poklopac, bijeli</v>
      </c>
    </row>
    <row r="945" spans="1:2" x14ac:dyDescent="0.2">
      <c r="A945" s="21">
        <v>7071661</v>
      </c>
      <c r="B945" s="18" t="str">
        <f ca="1">IFERROR(__xludf.DUMMYFUNCTION("GOOGLETRANSLATE(C4875,""en"",""hr"")"),"Preklop, bijeli")</f>
        <v>Preklop, bijeli</v>
      </c>
    </row>
    <row r="946" spans="1:2" x14ac:dyDescent="0.2">
      <c r="A946" s="21">
        <v>7071685</v>
      </c>
      <c r="B946" s="18" t="str">
        <f ca="1">IFERROR(__xludf.DUMMYFUNCTION("GOOGLETRANSLATE(C4746,""en"",""hr"")"),"Poklopac, bijeli")</f>
        <v>Poklopac, bijeli</v>
      </c>
    </row>
    <row r="947" spans="1:2" x14ac:dyDescent="0.2">
      <c r="A947" s="21">
        <v>7071688</v>
      </c>
      <c r="B947" s="18" t="str">
        <f ca="1">IFERROR(__xludf.DUMMYFUNCTION("GOOGLETRANSLATE(C4869,""en"",""hr"")"),"Poklopac, bijeli")</f>
        <v>Poklopac, bijeli</v>
      </c>
    </row>
    <row r="948" spans="1:2" x14ac:dyDescent="0.2">
      <c r="A948" s="21">
        <v>7071704</v>
      </c>
      <c r="B948" s="18" t="str">
        <f ca="1">IFERROR(__xludf.DUMMYFUNCTION("GOOGLETRANSLATE(C5381,""en"",""hr"")"),"Zaštita")</f>
        <v>Zaštita</v>
      </c>
    </row>
    <row r="949" spans="1:2" x14ac:dyDescent="0.2">
      <c r="A949" s="21">
        <v>7071709</v>
      </c>
      <c r="B949" s="18" t="str">
        <f ca="1">IFERROR(__xludf.DUMMYFUNCTION("GOOGLETRANSLATE(C5385,""en"",""hr"")"),"Zaštita")</f>
        <v>Zaštita</v>
      </c>
    </row>
    <row r="950" spans="1:2" x14ac:dyDescent="0.2">
      <c r="A950" s="21">
        <v>7071712</v>
      </c>
      <c r="B950" s="18" t="str">
        <f ca="1">IFERROR(__xludf.DUMMYFUNCTION("GOOGLETRANSLATE(C5382,""en"",""hr"")"),"Zaštita")</f>
        <v>Zaštita</v>
      </c>
    </row>
    <row r="951" spans="1:2" x14ac:dyDescent="0.2">
      <c r="A951" s="21">
        <v>7071714</v>
      </c>
      <c r="B951" s="18" t="str">
        <f ca="1">IFERROR(__xludf.DUMMYFUNCTION("GOOGLETRANSLATE(C5384,""en"",""hr"")"),"Zaštita")</f>
        <v>Zaštita</v>
      </c>
    </row>
    <row r="952" spans="1:2" x14ac:dyDescent="0.2">
      <c r="A952" s="21">
        <v>7071716</v>
      </c>
      <c r="B952" s="18" t="str">
        <f ca="1">IFERROR(__xludf.DUMMYFUNCTION("GOOGLETRANSLATE(C5380,""en"",""hr"")"),"Zaštita")</f>
        <v>Zaštita</v>
      </c>
    </row>
    <row r="953" spans="1:2" x14ac:dyDescent="0.2">
      <c r="A953" s="21">
        <v>7071717</v>
      </c>
      <c r="B953" s="18" t="str">
        <f ca="1">IFERROR(__xludf.DUMMYFUNCTION("GOOGLETRANSLATE(C5383,""en"",""hr"")"),"Zaštita")</f>
        <v>Zaštita</v>
      </c>
    </row>
    <row r="954" spans="1:2" x14ac:dyDescent="0.2">
      <c r="A954" s="21">
        <v>7071835</v>
      </c>
      <c r="B954" s="18" t="str">
        <f ca="1">IFERROR(__xludf.DUMMYFUNCTION("GOOGLETRANSLATE(C735,""en"",""hr"")"),"Držač stražnjeg mjenjača Cpl.")</f>
        <v>Držač stražnjeg mjenjača Cpl.</v>
      </c>
    </row>
    <row r="955" spans="1:2" x14ac:dyDescent="0.2">
      <c r="A955" s="21">
        <v>7071915</v>
      </c>
      <c r="B955" s="18" t="str">
        <f ca="1">IFERROR(__xludf.DUMMYFUNCTION("GOOGLETRANSLATE(C308,""en"",""hr"")"),"Zagrada")</f>
        <v>Zagrada</v>
      </c>
    </row>
    <row r="956" spans="1:2" x14ac:dyDescent="0.2">
      <c r="A956" s="21">
        <v>7071980</v>
      </c>
      <c r="B956" s="18" t="str">
        <f ca="1">IFERROR(__xludf.DUMMYFUNCTION("GOOGLETRANSLATE(C1554,""en"",""hr"")"),"Ploča za pričvršćivanje")</f>
        <v>Ploča za pričvršćivanje</v>
      </c>
    </row>
    <row r="957" spans="1:2" x14ac:dyDescent="0.2">
      <c r="A957" s="21">
        <v>7071982</v>
      </c>
      <c r="B957" s="18" t="str">
        <f ca="1">IFERROR(__xludf.DUMMYFUNCTION("GOOGLETRANSLATE(C1571,""en"",""hr"")"),"Ploča za pričvršćivanje")</f>
        <v>Ploča za pričvršćivanje</v>
      </c>
    </row>
    <row r="958" spans="1:2" x14ac:dyDescent="0.2">
      <c r="A958" s="21">
        <v>7071984</v>
      </c>
      <c r="B958" s="18" t="str">
        <f ca="1">IFERROR(__xludf.DUMMYFUNCTION("GOOGLETRANSLATE(C6418,""en"",""hr"")"),"Držač")</f>
        <v>Držač</v>
      </c>
    </row>
    <row r="959" spans="1:2" x14ac:dyDescent="0.2">
      <c r="A959" s="21">
        <v>7072085</v>
      </c>
      <c r="B959" s="18" t="str">
        <f ca="1">IFERROR(__xludf.DUMMYFUNCTION("GOOGLETRANSLATE(C1618,""en"",""hr"")"),"Držač")</f>
        <v>Držač</v>
      </c>
    </row>
    <row r="960" spans="1:2" x14ac:dyDescent="0.2">
      <c r="A960" s="21">
        <v>7072086</v>
      </c>
      <c r="B960" s="18" t="str">
        <f ca="1">IFERROR(__xludf.DUMMYFUNCTION("GOOGLETRANSLATE(C1617,""en"",""hr"")"),"Držač")</f>
        <v>Držač</v>
      </c>
    </row>
    <row r="961" spans="1:2" x14ac:dyDescent="0.2">
      <c r="A961" s="21">
        <v>7072087</v>
      </c>
      <c r="B961" s="18" t="str">
        <f ca="1">IFERROR(__xludf.DUMMYFUNCTION("GOOGLETRANSLATE(C5522,""en"",""hr"")"),"Zaštita")</f>
        <v>Zaštita</v>
      </c>
    </row>
    <row r="962" spans="1:2" x14ac:dyDescent="0.2">
      <c r="A962" s="21">
        <v>7072102</v>
      </c>
      <c r="B962" s="18" t="str">
        <f ca="1">IFERROR(__xludf.DUMMYFUNCTION("GOOGLETRANSLATE(C6291,""en"",""hr"")"),"Kabelski svežanj (+FO-WA)")</f>
        <v>Kabelski svežanj (+FO-WA)</v>
      </c>
    </row>
    <row r="963" spans="1:2" x14ac:dyDescent="0.2">
      <c r="A963" s="21">
        <v>7072168</v>
      </c>
      <c r="B963" s="18" t="str">
        <f ca="1">IFERROR(__xludf.DUMMYFUNCTION("GOOGLETRANSLATE(C5434,""en"",""hr"")"),"Prekidač")</f>
        <v>Prekidač</v>
      </c>
    </row>
    <row r="964" spans="1:2" x14ac:dyDescent="0.2">
      <c r="A964" s="21">
        <v>7072172</v>
      </c>
      <c r="B964" s="18" t="str">
        <f ca="1">IFERROR(__xludf.DUMMYFUNCTION("GOOGLETRANSLATE(C6666,""en"",""hr"")"),"stražar kap.")</f>
        <v>stražar kap.</v>
      </c>
    </row>
    <row r="965" spans="1:2" x14ac:dyDescent="0.2">
      <c r="A965" s="21">
        <v>7072185</v>
      </c>
      <c r="B965" s="18" t="str">
        <f ca="1">IFERROR(__xludf.DUMMYFUNCTION("GOOGLETRANSLATE(C6273,""en"",""hr"")"),"Ožičenje (+CH)")</f>
        <v>Ožičenje (+CH)</v>
      </c>
    </row>
    <row r="966" spans="1:2" x14ac:dyDescent="0.2">
      <c r="A966" s="21">
        <v>7072186</v>
      </c>
      <c r="B966" s="18" t="str">
        <f ca="1">IFERROR(__xludf.DUMMYFUNCTION("GOOGLETRANSLATE(C6310,""en"",""hr"")"),"Ožičenje (+TD-H)")</f>
        <v>Ožičenje (+TD-H)</v>
      </c>
    </row>
    <row r="967" spans="1:2" x14ac:dyDescent="0.2">
      <c r="A967" s="21">
        <v>7072208</v>
      </c>
      <c r="B967" s="18" t="str">
        <f ca="1">IFERROR(__xludf.DUMMYFUNCTION("GOOGLETRANSLATE(C5523,""en"",""hr"")"),"Brtvena ploča")</f>
        <v>Brtvena ploča</v>
      </c>
    </row>
    <row r="968" spans="1:2" x14ac:dyDescent="0.2">
      <c r="A968" s="21">
        <v>7072280</v>
      </c>
      <c r="B968" s="18" t="str">
        <f ca="1">IFERROR(__xludf.DUMMYFUNCTION("GOOGLETRANSLATE(C632,""en"",""hr"")"),"Prašina Lim")</f>
        <v>Prašina Lim</v>
      </c>
    </row>
    <row r="969" spans="1:2" x14ac:dyDescent="0.2">
      <c r="A969" s="21">
        <v>7072381</v>
      </c>
      <c r="B969" s="18" t="str">
        <f ca="1">IFERROR(__xludf.DUMMYFUNCTION("GOOGLETRANSLATE(C188,""en"",""hr"")"),"Crijevo za zrak punjenja radijator-motor")</f>
        <v>Crijevo za zrak punjenja radijator-motor</v>
      </c>
    </row>
    <row r="970" spans="1:2" x14ac:dyDescent="0.2">
      <c r="A970" s="21">
        <v>7072515</v>
      </c>
      <c r="B970" s="18" t="str">
        <f ca="1">IFERROR(__xludf.DUMMYFUNCTION("GOOGLETRANSLATE(C1070,""en"",""hr"")"),"Držač")</f>
        <v>Držač</v>
      </c>
    </row>
    <row r="971" spans="1:2" x14ac:dyDescent="0.2">
      <c r="A971" s="21">
        <v>7072601</v>
      </c>
      <c r="B971" s="18" t="str">
        <f ca="1">IFERROR(__xludf.DUMMYFUNCTION("GOOGLETRANSLATE(C1071,""en"",""hr"")"),"Držač")</f>
        <v>Držač</v>
      </c>
    </row>
    <row r="972" spans="1:2" x14ac:dyDescent="0.2">
      <c r="A972" s="21">
        <v>7072643</v>
      </c>
      <c r="B972" s="18" t="str">
        <f ca="1">IFERROR(__xludf.DUMMYFUNCTION("GOOGLETRANSLATE(C3837,""en"",""hr"")"),"Distributer")</f>
        <v>Distributer</v>
      </c>
    </row>
    <row r="973" spans="1:2" x14ac:dyDescent="0.2">
      <c r="A973" s="21">
        <v>7072756</v>
      </c>
      <c r="B973" s="18" t="str">
        <f ca="1">IFERROR(__xludf.DUMMYFUNCTION("GOOGLETRANSLATE(C1040,""en"",""hr"")"),"Suuport")</f>
        <v>Suuport</v>
      </c>
    </row>
    <row r="974" spans="1:2" x14ac:dyDescent="0.2">
      <c r="A974" s="21">
        <v>7072813</v>
      </c>
      <c r="B974" s="18" t="str">
        <f ca="1">IFERROR(__xludf.DUMMYFUNCTION("GOOGLETRANSLATE(C1354,""en"",""hr"")"),"Kraj ispušne cijevi")</f>
        <v>Kraj ispušne cijevi</v>
      </c>
    </row>
    <row r="975" spans="1:2" x14ac:dyDescent="0.2">
      <c r="A975" s="21">
        <v>7072831</v>
      </c>
      <c r="B975" s="18" t="str">
        <f ca="1">IFERROR(__xludf.DUMMYFUNCTION("GOOGLETRANSLATE(C4889,""en"",""hr"")"),"Držač desni")</f>
        <v>Držač desni</v>
      </c>
    </row>
    <row r="976" spans="1:2" x14ac:dyDescent="0.2">
      <c r="A976" s="21">
        <v>7072832</v>
      </c>
      <c r="B976" s="18" t="str">
        <f ca="1">IFERROR(__xludf.DUMMYFUNCTION("GOOGLETRANSLATE(C4891,""en"",""hr"")"),"Držač lijevi")</f>
        <v>Držač lijevi</v>
      </c>
    </row>
    <row r="977" spans="1:2" x14ac:dyDescent="0.2">
      <c r="A977" s="21">
        <v>7072833</v>
      </c>
      <c r="B977" s="18" t="str">
        <f ca="1">IFERROR(__xludf.DUMMYFUNCTION("GOOGLETRANSLATE(C896,""en"",""hr"")"),"Držač")</f>
        <v>Držač</v>
      </c>
    </row>
    <row r="978" spans="1:2" x14ac:dyDescent="0.2">
      <c r="A978" s="21">
        <v>7072845</v>
      </c>
      <c r="B978" s="18" t="str">
        <f ca="1">IFERROR(__xludf.DUMMYFUNCTION("GOOGLETRANSLATE(C1962,""en"",""hr"")"),"Zglobna osovina kpl.")</f>
        <v>Zglobna osovina kpl.</v>
      </c>
    </row>
    <row r="979" spans="1:2" x14ac:dyDescent="0.2">
      <c r="A979" s="21">
        <v>7072848</v>
      </c>
      <c r="B979" s="18" t="str">
        <f ca="1">IFERROR(__xludf.DUMMYFUNCTION("GOOGLETRANSLATE(C4747,""en"",""hr"")"),"Držač")</f>
        <v>Držač</v>
      </c>
    </row>
    <row r="980" spans="1:2" x14ac:dyDescent="0.2">
      <c r="A980" s="21">
        <v>7072858</v>
      </c>
      <c r="B980" s="18" t="str">
        <f ca="1">IFERROR(__xludf.DUMMYFUNCTION("GOOGLETRANSLATE(C1965,""en"",""hr"")"),"Oružni kapl. lijevo")</f>
        <v>Oružni kapl. lijevo</v>
      </c>
    </row>
    <row r="981" spans="1:2" x14ac:dyDescent="0.2">
      <c r="A981" s="21">
        <v>7072859</v>
      </c>
      <c r="B981" s="18" t="str">
        <f ca="1">IFERROR(__xludf.DUMMYFUNCTION("GOOGLETRANSLATE(C1964,""en"",""hr"")"),"Oružni kapl. pravo")</f>
        <v>Oružni kapl. pravo</v>
      </c>
    </row>
    <row r="982" spans="1:2" x14ac:dyDescent="0.2">
      <c r="A982" s="21">
        <v>7072880</v>
      </c>
      <c r="B982" s="18" t="str">
        <f ca="1">IFERROR(__xludf.DUMMYFUNCTION("GOOGLETRANSLATE(C3584,""en"",""hr"")"),"Spojka")</f>
        <v>Spojka</v>
      </c>
    </row>
    <row r="983" spans="1:2" x14ac:dyDescent="0.2">
      <c r="A983" s="21">
        <v>7072883</v>
      </c>
      <c r="B983" s="18" t="str">
        <f ca="1">IFERROR(__xludf.DUMMYFUNCTION("GOOGLETRANSLATE(C3585,""en"",""hr"")"),"Vodič")</f>
        <v>Vodič</v>
      </c>
    </row>
    <row r="984" spans="1:2" x14ac:dyDescent="0.2">
      <c r="A984" s="21">
        <v>7072885</v>
      </c>
      <c r="B984" s="18" t="str">
        <f ca="1">IFERROR(__xludf.DUMMYFUNCTION("GOOGLETRANSLATE(C3582,""en"",""hr"")"),"Odvodna cijev Cpl.")</f>
        <v>Odvodna cijev Cpl.</v>
      </c>
    </row>
    <row r="985" spans="1:2" x14ac:dyDescent="0.2">
      <c r="A985" s="21">
        <v>7072890</v>
      </c>
      <c r="B985" s="18" t="str">
        <f ca="1">IFERROR(__xludf.DUMMYFUNCTION("GOOGLETRANSLATE(C3586,""en"",""hr"")"),"Dio vodiča")</f>
        <v>Dio vodiča</v>
      </c>
    </row>
    <row r="986" spans="1:2" x14ac:dyDescent="0.2">
      <c r="A986" s="21">
        <v>7072927</v>
      </c>
      <c r="B986" s="18" t="str">
        <f ca="1">IFERROR(__xludf.DUMMYFUNCTION("GOOGLETRANSLATE(C4573,""en"",""hr"")"),"Restriktor")</f>
        <v>Restriktor</v>
      </c>
    </row>
    <row r="987" spans="1:2" x14ac:dyDescent="0.2">
      <c r="A987" s="21">
        <v>7072932</v>
      </c>
      <c r="B987" s="18" t="str">
        <f ca="1">IFERROR(__xludf.DUMMYFUNCTION("GOOGLETRANSLATE(C1972,""en"",""hr"")"),"Čahura za plinsku tlačnu oprugu")</f>
        <v>Čahura za plinsku tlačnu oprugu</v>
      </c>
    </row>
    <row r="988" spans="1:2" x14ac:dyDescent="0.2">
      <c r="A988" s="21">
        <v>7072933</v>
      </c>
      <c r="B988" s="18" t="str">
        <f ca="1">IFERROR(__xludf.DUMMYFUNCTION("GOOGLETRANSLATE(C1973,""en"",""hr"")"),"Čahura")</f>
        <v>Čahura</v>
      </c>
    </row>
    <row r="989" spans="1:2" x14ac:dyDescent="0.2">
      <c r="A989" s="21">
        <v>7072945</v>
      </c>
      <c r="B989" s="18" t="str">
        <f ca="1">IFERROR(__xludf.DUMMYFUNCTION("GOOGLETRANSLATE(C1969,""en"",""hr"")"),"Prednja konzola Cpl. pravo")</f>
        <v>Prednja konzola Cpl. pravo</v>
      </c>
    </row>
    <row r="990" spans="1:2" x14ac:dyDescent="0.2">
      <c r="A990" s="21">
        <v>7072949</v>
      </c>
      <c r="B990" s="18" t="str">
        <f ca="1">IFERROR(__xludf.DUMMYFUNCTION("GOOGLETRANSLATE(C1970,""en"",""hr"")"),"Prednja konzola Cpl. lijevo")</f>
        <v>Prednja konzola Cpl. lijevo</v>
      </c>
    </row>
    <row r="991" spans="1:2" x14ac:dyDescent="0.2">
      <c r="A991" s="21">
        <v>7073023</v>
      </c>
      <c r="B991" s="18" t="str">
        <f ca="1">IFERROR(__xludf.DUMMYFUNCTION("GOOGLETRANSLATE(C842,""en"",""hr"")"),"List")</f>
        <v>List</v>
      </c>
    </row>
    <row r="992" spans="1:2" x14ac:dyDescent="0.2">
      <c r="A992" s="21">
        <v>7073030</v>
      </c>
      <c r="B992" s="18" t="str">
        <f ca="1">IFERROR(__xludf.DUMMYFUNCTION("GOOGLETRANSLATE(C5582,""en"",""hr"")"),"Zaštita")</f>
        <v>Zaštita</v>
      </c>
    </row>
    <row r="993" spans="1:2" x14ac:dyDescent="0.2">
      <c r="A993" s="21">
        <v>7073044</v>
      </c>
      <c r="B993" s="18" t="str">
        <f ca="1">IFERROR(__xludf.DUMMYFUNCTION("GOOGLETRANSLATE(C833,""en"",""hr"")"),"Držač")</f>
        <v>Držač</v>
      </c>
    </row>
    <row r="994" spans="1:2" x14ac:dyDescent="0.2">
      <c r="A994" s="21">
        <v>7073058</v>
      </c>
      <c r="B994" s="18" t="str">
        <f ca="1">IFERROR(__xludf.DUMMYFUNCTION("GOOGLETRANSLATE(C6790,""en"",""hr"")"),"Ljepljiva ploča")</f>
        <v>Ljepljiva ploča</v>
      </c>
    </row>
    <row r="995" spans="1:2" x14ac:dyDescent="0.2">
      <c r="A995" s="21">
        <v>7073060</v>
      </c>
      <c r="B995" s="18" t="str">
        <f ca="1">IFERROR(__xludf.DUMMYFUNCTION("GOOGLETRANSLATE(C6818,""en"",""hr"")"),"Set samoljepljivih znakova, ANSI DV")</f>
        <v>Set samoljepljivih znakova, ANSI DV</v>
      </c>
    </row>
    <row r="996" spans="1:2" x14ac:dyDescent="0.2">
      <c r="A996" s="21">
        <v>7073062</v>
      </c>
      <c r="B996" s="18" t="str">
        <f ca="1">IFERROR(__xludf.DUMMYFUNCTION("GOOGLETRANSLATE(C6817,""en"",""hr"")"),"Oznake CityCat V20e, ANSI EV")</f>
        <v>Oznake CityCat V20e, ANSI EV</v>
      </c>
    </row>
    <row r="997" spans="1:2" x14ac:dyDescent="0.2">
      <c r="A997" s="21">
        <v>7073063</v>
      </c>
      <c r="B997" s="18" t="str">
        <f ca="1">IFERROR(__xludf.DUMMYFUNCTION("GOOGLETRANSLATE(C6816,""en"",""hr"")"),"Ljepljivi set natpisa CityCat V20, ANSI Common")</f>
        <v>Ljepljivi set natpisa CityCat V20, ANSI Common</v>
      </c>
    </row>
    <row r="998" spans="1:2" x14ac:dyDescent="0.2">
      <c r="A998" s="21">
        <v>7073073</v>
      </c>
      <c r="B998" s="18" t="str">
        <f ca="1">IFERROR(__xludf.DUMMYFUNCTION("GOOGLETRANSLATE(C3406,""en"",""hr"")"),"Poluga")</f>
        <v>Poluga</v>
      </c>
    </row>
    <row r="999" spans="1:2" x14ac:dyDescent="0.2">
      <c r="A999" s="21">
        <v>7073074</v>
      </c>
      <c r="B999" s="18" t="str">
        <f ca="1">IFERROR(__xludf.DUMMYFUNCTION("GOOGLETRANSLATE(C3407,""en"",""hr"")"),"Poluga")</f>
        <v>Poluga</v>
      </c>
    </row>
    <row r="1000" spans="1:2" x14ac:dyDescent="0.2">
      <c r="A1000" s="21">
        <v>7073088</v>
      </c>
      <c r="B1000" s="18" t="str">
        <f ca="1">IFERROR(__xludf.DUMMYFUNCTION("GOOGLETRANSLATE(C4261,""en"",""hr"")"),"Usisna cijev Cpl.")</f>
        <v>Usisna cijev Cpl.</v>
      </c>
    </row>
    <row r="1001" spans="1:2" x14ac:dyDescent="0.2">
      <c r="A1001" s="21">
        <v>7073090</v>
      </c>
      <c r="B1001" s="18" t="str">
        <f ca="1">IFERROR(__xludf.DUMMYFUNCTION("GOOGLETRANSLATE(C2922,""en"",""hr"")"),"Ruka")</f>
        <v>Ruka</v>
      </c>
    </row>
    <row r="1002" spans="1:2" x14ac:dyDescent="0.2">
      <c r="A1002" s="21">
        <v>7073117</v>
      </c>
      <c r="B1002" s="18" t="str">
        <f ca="1">IFERROR(__xludf.DUMMYFUNCTION("GOOGLETRANSLATE(C4270,""en"",""hr"")"),"Zaštitni list")</f>
        <v>Zaštitni list</v>
      </c>
    </row>
    <row r="1003" spans="1:2" x14ac:dyDescent="0.2">
      <c r="A1003" s="21">
        <v>7073118</v>
      </c>
      <c r="B1003" s="18" t="str">
        <f ca="1">IFERROR(__xludf.DUMMYFUNCTION("GOOGLETRANSLATE(C46,""en"",""hr"")"),"Deflektor Cpl.")</f>
        <v>Deflektor Cpl.</v>
      </c>
    </row>
    <row r="1004" spans="1:2" x14ac:dyDescent="0.2">
      <c r="A1004" s="21">
        <v>7073128</v>
      </c>
      <c r="B1004" s="18" t="str">
        <f ca="1">IFERROR(__xludf.DUMMYFUNCTION("GOOGLETRANSLATE(C1512,""en"",""hr"")"),"Zaštitna kapuljača")</f>
        <v>Zaštitna kapuljača</v>
      </c>
    </row>
    <row r="1005" spans="1:2" x14ac:dyDescent="0.2">
      <c r="A1005" s="21">
        <v>7073148</v>
      </c>
      <c r="B1005" s="18" t="str">
        <f ca="1">IFERROR(__xludf.DUMMYFUNCTION("GOOGLETRANSLATE(C6283,""en"",""hr"")"),"Kabel (-) (+O-JS)")</f>
        <v>Kabel (-) (+O-JS)</v>
      </c>
    </row>
    <row r="1006" spans="1:2" x14ac:dyDescent="0.2">
      <c r="A1006" s="21">
        <v>7073153</v>
      </c>
      <c r="B1006" s="18" t="str">
        <f ca="1">IFERROR(__xludf.DUMMYFUNCTION("GOOGLETRANSLATE(C6281,""en"",""hr"")"),"Kabel (+) (+O-JS)")</f>
        <v>Kabel (+) (+O-JS)</v>
      </c>
    </row>
    <row r="1007" spans="1:2" x14ac:dyDescent="0.2">
      <c r="A1007" s="21">
        <v>7073178</v>
      </c>
      <c r="B1007" s="18" t="str">
        <f ca="1">IFERROR(__xludf.DUMMYFUNCTION("GOOGLETRANSLATE(C4587,""en"",""hr"")"),"Upravljački blok Ručna pumpa s rasterećenjem")</f>
        <v>Upravljački blok Ručna pumpa s rasterećenjem</v>
      </c>
    </row>
    <row r="1008" spans="1:2" x14ac:dyDescent="0.2">
      <c r="A1008" s="21">
        <v>7073190</v>
      </c>
      <c r="B1008" s="18" t="str">
        <f ca="1">IFERROR(__xludf.DUMMYFUNCTION("GOOGLETRANSLATE(C3002,""en"",""hr"")"),"Spojni komad")</f>
        <v>Spojni komad</v>
      </c>
    </row>
    <row r="1009" spans="1:2" x14ac:dyDescent="0.2">
      <c r="A1009" s="21">
        <v>7073198</v>
      </c>
      <c r="B1009" s="18" t="str">
        <f ca="1">IFERROR(__xludf.DUMMYFUNCTION("GOOGLETRANSLATE(C2999,""en"",""hr"")"),"Šipka za mjerenje kratka")</f>
        <v>Šipka za mjerenje kratka</v>
      </c>
    </row>
    <row r="1010" spans="1:2" x14ac:dyDescent="0.2">
      <c r="A1010" s="21">
        <v>7073200</v>
      </c>
      <c r="B1010" s="18" t="str">
        <f ca="1">IFERROR(__xludf.DUMMYFUNCTION("GOOGLETRANSLATE(C928,""en"",""hr"")"),"Priključak crijeva")</f>
        <v>Priključak crijeva</v>
      </c>
    </row>
    <row r="1011" spans="1:2" x14ac:dyDescent="0.2">
      <c r="A1011" s="21">
        <v>7073201</v>
      </c>
      <c r="B1011" s="18" t="str">
        <f ca="1">IFERROR(__xludf.DUMMYFUNCTION("GOOGLETRANSLATE(C3008,""en"",""hr"")"),"Dugačka mjerna šipka")</f>
        <v>Dugačka mjerna šipka</v>
      </c>
    </row>
    <row r="1012" spans="1:2" x14ac:dyDescent="0.2">
      <c r="A1012" s="21">
        <v>7073246</v>
      </c>
      <c r="B1012" s="18" t="str">
        <f ca="1">IFERROR(__xludf.DUMMYFUNCTION("GOOGLETRANSLATE(C58,""en"",""hr"")"),"Usisna traka")</f>
        <v>Usisna traka</v>
      </c>
    </row>
    <row r="1013" spans="1:2" x14ac:dyDescent="0.2">
      <c r="A1013" s="21">
        <v>7073254</v>
      </c>
      <c r="B1013" s="18" t="str">
        <f ca="1">IFERROR(__xludf.DUMMYFUNCTION("GOOGLETRANSLATE(C367,""en"",""hr"")"),"Zaštita od prskanja")</f>
        <v>Zaštita od prskanja</v>
      </c>
    </row>
    <row r="1014" spans="1:2" x14ac:dyDescent="0.2">
      <c r="A1014" s="21">
        <v>7073261</v>
      </c>
      <c r="B1014" s="18" t="str">
        <f ca="1">IFERROR(__xludf.DUMMYFUNCTION("GOOGLETRANSLATE(C1876,""en"",""hr"")"),"Stop")</f>
        <v>Stop</v>
      </c>
    </row>
    <row r="1015" spans="1:2" x14ac:dyDescent="0.2">
      <c r="A1015" s="21">
        <v>7073263</v>
      </c>
      <c r="B1015" s="18" t="str">
        <f ca="1">IFERROR(__xludf.DUMMYFUNCTION("GOOGLETRANSLATE(C1877,""en"",""hr"")"),"Stop")</f>
        <v>Stop</v>
      </c>
    </row>
    <row r="1016" spans="1:2" x14ac:dyDescent="0.2">
      <c r="A1016" s="21">
        <v>7073270</v>
      </c>
      <c r="B1016" s="18" t="str">
        <f ca="1">IFERROR(__xludf.DUMMYFUNCTION("GOOGLETRANSLATE(C5584,""en"",""hr"")"),"Supporto")</f>
        <v>Supporto</v>
      </c>
    </row>
    <row r="1017" spans="1:2" x14ac:dyDescent="0.2">
      <c r="A1017" s="21">
        <v>7073309</v>
      </c>
      <c r="B1017" s="18" t="str">
        <f ca="1">IFERROR(__xludf.DUMMYFUNCTION("GOOGLETRANSLATE(C1995,""en"",""hr"")"),"Povratno crijevo")</f>
        <v>Povratno crijevo</v>
      </c>
    </row>
    <row r="1018" spans="1:2" x14ac:dyDescent="0.2">
      <c r="A1018" s="21">
        <v>7073310</v>
      </c>
      <c r="B1018" s="18" t="str">
        <f ca="1">IFERROR(__xludf.DUMMYFUNCTION("GOOGLETRANSLATE(C1991,""en"",""hr"")"),"Crijevo")</f>
        <v>Crijevo</v>
      </c>
    </row>
    <row r="1019" spans="1:2" x14ac:dyDescent="0.2">
      <c r="A1019" s="21">
        <v>7073311</v>
      </c>
      <c r="B1019" s="18" t="str">
        <f ca="1">IFERROR(__xludf.DUMMYFUNCTION("GOOGLETRANSLATE(C1990,""en"",""hr"")"),"Crijevo")</f>
        <v>Crijevo</v>
      </c>
    </row>
    <row r="1020" spans="1:2" x14ac:dyDescent="0.2">
      <c r="A1020" s="21">
        <v>7073312</v>
      </c>
      <c r="B1020" s="18" t="str">
        <f ca="1">IFERROR(__xludf.DUMMYFUNCTION("GOOGLETRANSLATE(C1992,""en"",""hr"")"),"Crijevo")</f>
        <v>Crijevo</v>
      </c>
    </row>
    <row r="1021" spans="1:2" x14ac:dyDescent="0.2">
      <c r="A1021" s="21">
        <v>7073313</v>
      </c>
      <c r="B1021" s="18" t="str">
        <f ca="1">IFERROR(__xludf.DUMMYFUNCTION("GOOGLETRANSLATE(C1994,""en"",""hr"")"),"Crijevo")</f>
        <v>Crijevo</v>
      </c>
    </row>
    <row r="1022" spans="1:2" x14ac:dyDescent="0.2">
      <c r="A1022" s="21">
        <v>7073314</v>
      </c>
      <c r="B1022" s="18" t="str">
        <f ca="1">IFERROR(__xludf.DUMMYFUNCTION("GOOGLETRANSLATE(C1993,""en"",""hr"")"),"Crijevo")</f>
        <v>Crijevo</v>
      </c>
    </row>
    <row r="1023" spans="1:2" x14ac:dyDescent="0.2">
      <c r="A1023" s="21">
        <v>7073319</v>
      </c>
      <c r="B1023" s="18" t="str">
        <f ca="1">IFERROR(__xludf.DUMMYFUNCTION("GOOGLETRANSLATE(C5378,""en"",""hr"")"),"Podesite prsten")</f>
        <v>Podesite prsten</v>
      </c>
    </row>
    <row r="1024" spans="1:2" x14ac:dyDescent="0.2">
      <c r="A1024" s="21">
        <v>7073331</v>
      </c>
      <c r="B1024" s="18" t="str">
        <f ca="1">IFERROR(__xludf.DUMMYFUNCTION("GOOGLETRANSLATE(C6633,""en"",""hr"")"),"mjerač")</f>
        <v>mjerač</v>
      </c>
    </row>
    <row r="1025" spans="1:2" x14ac:dyDescent="0.2">
      <c r="A1025" s="21">
        <v>7073397</v>
      </c>
      <c r="B1025" s="18" t="str">
        <f ca="1">IFERROR(__xludf.DUMMYFUNCTION("GOOGLETRANSLATE(C4318,""en"",""hr"")"),"Hopper kap. 1.4003")</f>
        <v>Hopper kap. 1.4003</v>
      </c>
    </row>
    <row r="1026" spans="1:2" x14ac:dyDescent="0.2">
      <c r="A1026" s="21">
        <v>7073400</v>
      </c>
      <c r="B1026" s="18" t="str">
        <f ca="1">IFERROR(__xludf.DUMMYFUNCTION("GOOGLETRANSLATE(C2055,""en"",""hr"")"),"Hidraulično crijevo")</f>
        <v>Hidraulično crijevo</v>
      </c>
    </row>
    <row r="1027" spans="1:2" x14ac:dyDescent="0.2">
      <c r="A1027" s="21">
        <v>7073401</v>
      </c>
      <c r="B1027" s="18" t="str">
        <f ca="1">IFERROR(__xludf.DUMMYFUNCTION("GOOGLETRANSLATE(C2058,""en"",""hr"")"),"Hidraulično crijevo")</f>
        <v>Hidraulično crijevo</v>
      </c>
    </row>
    <row r="1028" spans="1:2" x14ac:dyDescent="0.2">
      <c r="A1028" s="21">
        <v>7073403</v>
      </c>
      <c r="B1028" s="18" t="str">
        <f ca="1">IFERROR(__xludf.DUMMYFUNCTION("GOOGLETRANSLATE(C2057,""en"",""hr"")"),"Hidraulično crijevo")</f>
        <v>Hidraulično crijevo</v>
      </c>
    </row>
    <row r="1029" spans="1:2" x14ac:dyDescent="0.2">
      <c r="A1029" s="21">
        <v>7073404</v>
      </c>
      <c r="B1029" s="18" t="str">
        <f ca="1">IFERROR(__xludf.DUMMYFUNCTION("GOOGLETRANSLATE(C2056,""en"",""hr"")"),"Hidraulično crijevo")</f>
        <v>Hidraulično crijevo</v>
      </c>
    </row>
    <row r="1030" spans="1:2" x14ac:dyDescent="0.2">
      <c r="A1030" s="21">
        <v>7073448</v>
      </c>
      <c r="B1030" s="18" t="str">
        <f ca="1">IFERROR(__xludf.DUMMYFUNCTION("GOOGLETRANSLATE(C739,""en"",""hr"")"),"Držač prednjeg zupčanika Cpl.")</f>
        <v>Držač prednjeg zupčanika Cpl.</v>
      </c>
    </row>
    <row r="1031" spans="1:2" x14ac:dyDescent="0.2">
      <c r="A1031" s="21">
        <v>7073455</v>
      </c>
      <c r="B1031" s="18" t="str">
        <f ca="1">IFERROR(__xludf.DUMMYFUNCTION("GOOGLETRANSLATE(C740,""en"",""hr"")"),"EV Držač motora Prednji kap.")</f>
        <v>EV Držač motora Prednji kap.</v>
      </c>
    </row>
    <row r="1032" spans="1:2" x14ac:dyDescent="0.2">
      <c r="A1032" s="21">
        <v>7073515</v>
      </c>
      <c r="B1032" s="18" t="str">
        <f ca="1">IFERROR(__xludf.DUMMYFUNCTION("GOOGLETRANSLATE(C1361,""en"",""hr"")"),"Filter čestica SCR")</f>
        <v>Filter čestica SCR</v>
      </c>
    </row>
    <row r="1033" spans="1:2" x14ac:dyDescent="0.2">
      <c r="A1033" s="21">
        <v>7073516</v>
      </c>
      <c r="B1033" s="18" t="str">
        <f ca="1">IFERROR(__xludf.DUMMYFUNCTION("GOOGLETRANSLATE(C1997,""en"",""hr"")"),"Crijevo")</f>
        <v>Crijevo</v>
      </c>
    </row>
    <row r="1034" spans="1:2" x14ac:dyDescent="0.2">
      <c r="A1034" s="21">
        <v>7073519</v>
      </c>
      <c r="B1034" s="18" t="str">
        <f ca="1">IFERROR(__xludf.DUMMYFUNCTION("GOOGLETRANSLATE(C1996,""en"",""hr"")"),"Crijevo")</f>
        <v>Crijevo</v>
      </c>
    </row>
    <row r="1035" spans="1:2" x14ac:dyDescent="0.2">
      <c r="A1035" s="21">
        <v>7073521</v>
      </c>
      <c r="B1035" s="18" t="str">
        <f ca="1">IFERROR(__xludf.DUMMYFUNCTION("GOOGLETRANSLATE(C2022,""en"",""hr"")"),"Crijevo")</f>
        <v>Crijevo</v>
      </c>
    </row>
    <row r="1036" spans="1:2" x14ac:dyDescent="0.2">
      <c r="A1036" s="21">
        <v>7073523</v>
      </c>
      <c r="B1036" s="18" t="str">
        <f ca="1">IFERROR(__xludf.DUMMYFUNCTION("GOOGLETRANSLATE(C2021,""en"",""hr"")"),"Crijevo")</f>
        <v>Crijevo</v>
      </c>
    </row>
    <row r="1037" spans="1:2" x14ac:dyDescent="0.2">
      <c r="A1037" s="21">
        <v>7073527</v>
      </c>
      <c r="B1037" s="18" t="str">
        <f ca="1">IFERROR(__xludf.DUMMYFUNCTION("GOOGLETRANSLATE(C2020,""en"",""hr"")"),"Crijevo")</f>
        <v>Crijevo</v>
      </c>
    </row>
    <row r="1038" spans="1:2" x14ac:dyDescent="0.2">
      <c r="A1038" s="21">
        <v>7073529</v>
      </c>
      <c r="B1038" s="18" t="str">
        <f ca="1">IFERROR(__xludf.DUMMYFUNCTION("GOOGLETRANSLATE(C2023,""en"",""hr"")"),"Crijevo")</f>
        <v>Crijevo</v>
      </c>
    </row>
    <row r="1039" spans="1:2" x14ac:dyDescent="0.2">
      <c r="A1039" s="21">
        <v>7073538</v>
      </c>
      <c r="B1039" s="18" t="str">
        <f ca="1">IFERROR(__xludf.DUMMYFUNCTION("GOOGLETRANSLATE(C4568,""en"",""hr"")"),"Cijev")</f>
        <v>Cijev</v>
      </c>
    </row>
    <row r="1040" spans="1:2" x14ac:dyDescent="0.2">
      <c r="A1040" s="21">
        <v>7073539</v>
      </c>
      <c r="B1040" s="18" t="str">
        <f ca="1">IFERROR(__xludf.DUMMYFUNCTION("GOOGLETRANSLATE(C4569,""en"",""hr"")"),"Cijev")</f>
        <v>Cijev</v>
      </c>
    </row>
    <row r="1041" spans="1:2" x14ac:dyDescent="0.2">
      <c r="A1041" s="21">
        <v>7073557</v>
      </c>
      <c r="B1041" s="18" t="str">
        <f ca="1">IFERROR(__xludf.DUMMYFUNCTION("GOOGLETRANSLATE(C6864,""en"",""hr"")"),"gas")</f>
        <v>gas</v>
      </c>
    </row>
    <row r="1042" spans="1:2" x14ac:dyDescent="0.2">
      <c r="A1042" s="21">
        <v>7073565</v>
      </c>
      <c r="B1042" s="18" t="str">
        <f ca="1">IFERROR(__xludf.DUMMYFUNCTION("GOOGLETRANSLATE(C3309,""en"",""hr"")"),"Usisni blok")</f>
        <v>Usisni blok</v>
      </c>
    </row>
    <row r="1043" spans="1:2" x14ac:dyDescent="0.2">
      <c r="A1043" s="21">
        <v>7073576</v>
      </c>
      <c r="B1043" s="18" t="str">
        <f ca="1">IFERROR(__xludf.DUMMYFUNCTION("GOOGLETRANSLATE(C3097,""en"",""hr"")"),"Korekcija lima")</f>
        <v>Korekcija lima</v>
      </c>
    </row>
    <row r="1044" spans="1:2" x14ac:dyDescent="0.2">
      <c r="A1044" s="21">
        <v>7073577</v>
      </c>
      <c r="B1044" s="18" t="str">
        <f ca="1">IFERROR(__xludf.DUMMYFUNCTION("GOOGLETRANSLATE(C1470,""en"",""hr"")"),"Montažna ploča Čep hladnjaka")</f>
        <v>Montažna ploča Čep hladnjaka</v>
      </c>
    </row>
    <row r="1045" spans="1:2" x14ac:dyDescent="0.2">
      <c r="A1045" s="21">
        <v>7073645</v>
      </c>
      <c r="B1045" s="18" t="str">
        <f ca="1">IFERROR(__xludf.DUMMYFUNCTION("GOOGLETRANSLATE(C6578,""en"",""hr"")"),"Priključak za mjerenje")</f>
        <v>Priključak za mjerenje</v>
      </c>
    </row>
    <row r="1046" spans="1:2" x14ac:dyDescent="0.2">
      <c r="A1046" s="21">
        <v>7073650</v>
      </c>
      <c r="B1046" s="18" t="str">
        <f ca="1">IFERROR(__xludf.DUMMYFUNCTION("GOOGLETRANSLATE(C361,""en"",""hr"")"),"Straža")</f>
        <v>Straža</v>
      </c>
    </row>
    <row r="1047" spans="1:2" x14ac:dyDescent="0.2">
      <c r="A1047" s="21">
        <v>7073669</v>
      </c>
      <c r="B1047" s="18" t="str">
        <f ca="1">IFERROR(__xludf.DUMMYFUNCTION("GOOGLETRANSLATE(C3855,""en"",""hr"")"),"Držač")</f>
        <v>Držač</v>
      </c>
    </row>
    <row r="1048" spans="1:2" x14ac:dyDescent="0.2">
      <c r="A1048" s="21">
        <v>7073679</v>
      </c>
      <c r="B1048" s="18" t="str">
        <f ca="1">IFERROR(__xludf.DUMMYFUNCTION("GOOGLETRANSLATE(C5163,""en"",""hr"")"),"Oplata")</f>
        <v>Oplata</v>
      </c>
    </row>
    <row r="1049" spans="1:2" x14ac:dyDescent="0.2">
      <c r="A1049" s="21">
        <v>7073727</v>
      </c>
      <c r="B1049" s="18" t="str">
        <f ca="1">IFERROR(__xludf.DUMMYFUNCTION("GOOGLETRANSLATE(C4911,""en"",""hr"")"),"Držač")</f>
        <v>Držač</v>
      </c>
    </row>
    <row r="1050" spans="1:2" x14ac:dyDescent="0.2">
      <c r="A1050" s="21">
        <v>7073735</v>
      </c>
      <c r="B1050" s="18" t="str">
        <f ca="1">IFERROR(__xludf.DUMMYFUNCTION("GOOGLETRANSLATE(C4909,""en"",""hr"")"),"Metalni lim")</f>
        <v>Metalni lim</v>
      </c>
    </row>
    <row r="1051" spans="1:2" x14ac:dyDescent="0.2">
      <c r="A1051" s="21">
        <v>7073738</v>
      </c>
      <c r="B1051" s="18" t="str">
        <f ca="1">IFERROR(__xludf.DUMMYFUNCTION("GOOGLETRANSLATE(C4906,""en"",""hr"")"),"Zaštita")</f>
        <v>Zaštita</v>
      </c>
    </row>
    <row r="1052" spans="1:2" x14ac:dyDescent="0.2">
      <c r="A1052" s="21">
        <v>7073745</v>
      </c>
      <c r="B1052" s="18" t="str">
        <f ca="1">IFERROR(__xludf.DUMMYFUNCTION("GOOGLETRANSLATE(C4910,""en"",""hr"")"),"Metalni lim")</f>
        <v>Metalni lim</v>
      </c>
    </row>
    <row r="1053" spans="1:2" x14ac:dyDescent="0.2">
      <c r="A1053" s="21">
        <v>7073752</v>
      </c>
      <c r="B1053" s="18" t="str">
        <f ca="1">IFERROR(__xludf.DUMMYFUNCTION("GOOGLETRANSLATE(C769,""en"",""hr"")"),"Pogon osovine")</f>
        <v>Pogon osovine</v>
      </c>
    </row>
    <row r="1054" spans="1:2" x14ac:dyDescent="0.2">
      <c r="A1054" s="21">
        <v>7073781</v>
      </c>
      <c r="B1054" s="18" t="str">
        <f ca="1">IFERROR(__xludf.DUMMYFUNCTION("GOOGLETRANSLATE(C6629,""en"",""hr"")"),"Pol")</f>
        <v>Pol</v>
      </c>
    </row>
    <row r="1055" spans="1:2" x14ac:dyDescent="0.2">
      <c r="A1055" s="21">
        <v>7073801</v>
      </c>
      <c r="B1055" s="18" t="str">
        <f ca="1">IFERROR(__xludf.DUMMYFUNCTION("GOOGLETRANSLATE(C1471,""en"",""hr"")"),"Traka za Cooleropening")</f>
        <v>Traka za Cooleropening</v>
      </c>
    </row>
    <row r="1056" spans="1:2" x14ac:dyDescent="0.2">
      <c r="A1056" s="21">
        <v>7073815</v>
      </c>
      <c r="B1056" s="18" t="str">
        <f ca="1">IFERROR(__xludf.DUMMYFUNCTION("GOOGLETRANSLATE(C4336,""en"",""hr"")"),"Filter kalupa LH")</f>
        <v>Filter kalupa LH</v>
      </c>
    </row>
    <row r="1057" spans="1:2" x14ac:dyDescent="0.2">
      <c r="A1057" s="21">
        <v>7073816</v>
      </c>
      <c r="B1057" s="18" t="str">
        <f ca="1">IFERROR(__xludf.DUMMYFUNCTION("GOOGLETRANSLATE(C4335,""en"",""hr"")"),"Filter kalupa RH")</f>
        <v>Filter kalupa RH</v>
      </c>
    </row>
    <row r="1058" spans="1:2" x14ac:dyDescent="0.2">
      <c r="A1058" s="21">
        <v>7073817</v>
      </c>
      <c r="B1058" s="18" t="str">
        <f ca="1">IFERROR(__xludf.DUMMYFUNCTION("GOOGLETRANSLATE(C4337,""en"",""hr"")"),"Filter kalupa FH")</f>
        <v>Filter kalupa FH</v>
      </c>
    </row>
    <row r="1059" spans="1:2" x14ac:dyDescent="0.2">
      <c r="A1059" s="21">
        <v>7073857</v>
      </c>
      <c r="B1059" s="18" t="str">
        <f ca="1">IFERROR(__xludf.DUMMYFUNCTION("GOOGLETRANSLATE(C2813,""en"",""hr"")"),"Kontrolni blok")</f>
        <v>Kontrolni blok</v>
      </c>
    </row>
    <row r="1060" spans="1:2" x14ac:dyDescent="0.2">
      <c r="A1060" s="21">
        <v>7073859</v>
      </c>
      <c r="B1060" s="18" t="str">
        <f ca="1">IFERROR(__xludf.DUMMYFUNCTION("GOOGLETRANSLATE(C2590,""en"",""hr"")"),"Kontrolni blok")</f>
        <v>Kontrolni blok</v>
      </c>
    </row>
    <row r="1061" spans="1:2" x14ac:dyDescent="0.2">
      <c r="A1061" s="21">
        <v>7073934</v>
      </c>
      <c r="B1061" s="18" t="str">
        <f ca="1">IFERROR(__xludf.DUMMYFUNCTION("GOOGLETRANSLATE(C3595,""en"",""hr"")"),"Prirubnica")</f>
        <v>Prirubnica</v>
      </c>
    </row>
    <row r="1062" spans="1:2" x14ac:dyDescent="0.2">
      <c r="A1062" s="21">
        <v>7073935</v>
      </c>
      <c r="B1062" s="18" t="str">
        <f ca="1">IFERROR(__xludf.DUMMYFUNCTION("GOOGLETRANSLATE(C3590,""en"",""hr"")"),"Kućište pužnog mjenjača")</f>
        <v>Kućište pužnog mjenjača</v>
      </c>
    </row>
    <row r="1063" spans="1:2" x14ac:dyDescent="0.2">
      <c r="A1063" s="21">
        <v>7073936</v>
      </c>
      <c r="B1063" s="18" t="str">
        <f ca="1">IFERROR(__xludf.DUMMYFUNCTION("GOOGLETRANSLATE(C3596,""en"",""hr"")"),"Dio vodiča")</f>
        <v>Dio vodiča</v>
      </c>
    </row>
    <row r="1064" spans="1:2" x14ac:dyDescent="0.2">
      <c r="A1064" s="21">
        <v>7073937</v>
      </c>
      <c r="B1064" s="18" t="str">
        <f ca="1">IFERROR(__xludf.DUMMYFUNCTION("GOOGLETRANSLATE(C3599,""en"",""hr"")"),"brtva")</f>
        <v>brtva</v>
      </c>
    </row>
    <row r="1065" spans="1:2" x14ac:dyDescent="0.2">
      <c r="A1065" s="21">
        <v>7073938</v>
      </c>
      <c r="B1065" s="18" t="str">
        <f ca="1">IFERROR(__xludf.DUMMYFUNCTION("GOOGLETRANSLATE(C3593,""en"",""hr"")"),"Spojka")</f>
        <v>Spojka</v>
      </c>
    </row>
    <row r="1066" spans="1:2" x14ac:dyDescent="0.2">
      <c r="A1066" s="21">
        <v>7073941</v>
      </c>
      <c r="B1066" s="18" t="str">
        <f ca="1">IFERROR(__xludf.DUMMYFUNCTION("GOOGLETRANSLATE(C3592,""en"",""hr"")"),"Vodič")</f>
        <v>Vodič</v>
      </c>
    </row>
    <row r="1067" spans="1:2" x14ac:dyDescent="0.2">
      <c r="A1067" s="21">
        <v>7073943</v>
      </c>
      <c r="B1067" s="18" t="str">
        <f ca="1">IFERROR(__xludf.DUMMYFUNCTION("GOOGLETRANSLATE(C3598,""en"",""hr"")"),"Ocijediti")</f>
        <v>Ocijediti</v>
      </c>
    </row>
    <row r="1068" spans="1:2" x14ac:dyDescent="0.2">
      <c r="A1068" s="21">
        <v>7073944</v>
      </c>
      <c r="B1068" s="18" t="str">
        <f ca="1">IFERROR(__xludf.DUMMYFUNCTION("GOOGLETRANSLATE(C3588,""en"",""hr"")"),"Odvodni ventil kpl.")</f>
        <v>Odvodni ventil kpl.</v>
      </c>
    </row>
    <row r="1069" spans="1:2" x14ac:dyDescent="0.2">
      <c r="A1069" s="21">
        <v>7073946</v>
      </c>
      <c r="B1069" s="18" t="str">
        <f ca="1">IFERROR(__xludf.DUMMYFUNCTION("GOOGLETRANSLATE(C5356,""en"",""hr"")"),"Vratilo")</f>
        <v>Vratilo</v>
      </c>
    </row>
    <row r="1070" spans="1:2" x14ac:dyDescent="0.2">
      <c r="A1070" s="21">
        <v>7073976</v>
      </c>
      <c r="B1070" s="18" t="str">
        <f ca="1">IFERROR(__xludf.DUMMYFUNCTION("GOOGLETRANSLATE(C3490,""en"",""hr"")"),"Rezervoar za vodu")</f>
        <v>Rezervoar za vodu</v>
      </c>
    </row>
    <row r="1071" spans="1:2" x14ac:dyDescent="0.2">
      <c r="A1071" s="21">
        <v>7074014</v>
      </c>
      <c r="B1071" s="18" t="str">
        <f ca="1">IFERROR(__xludf.DUMMYFUNCTION("GOOGLETRANSLATE(C938,""en"",""hr"")"),"Razmaknica")</f>
        <v>Razmaknica</v>
      </c>
    </row>
    <row r="1072" spans="1:2" x14ac:dyDescent="0.2">
      <c r="A1072" s="21">
        <v>7074039</v>
      </c>
      <c r="B1072" s="18" t="str">
        <f ca="1">IFERROR(__xludf.DUMMYFUNCTION("GOOGLETRANSLATE(C3117,""en"",""hr"")"),"Supporto")</f>
        <v>Supporto</v>
      </c>
    </row>
    <row r="1073" spans="1:2" x14ac:dyDescent="0.2">
      <c r="A1073" s="21">
        <v>7074042</v>
      </c>
      <c r="B1073" s="18" t="str">
        <f ca="1">IFERROR(__xludf.DUMMYFUNCTION("GOOGLETRANSLATE(C3118,""en"",""hr"")"),"Supporto")</f>
        <v>Supporto</v>
      </c>
    </row>
    <row r="1074" spans="1:2" x14ac:dyDescent="0.2">
      <c r="A1074" s="21">
        <v>7074064</v>
      </c>
      <c r="B1074" s="18" t="str">
        <f ca="1">IFERROR(__xludf.DUMMYFUNCTION("GOOGLETRANSLATE(C2847,""en"",""hr"")"),"Montažna ploča")</f>
        <v>Montažna ploča</v>
      </c>
    </row>
    <row r="1075" spans="1:2" x14ac:dyDescent="0.2">
      <c r="A1075" s="21">
        <v>7074065</v>
      </c>
      <c r="B1075" s="18" t="str">
        <f ca="1">IFERROR(__xludf.DUMMYFUNCTION("GOOGLETRANSLATE(C2869,""en"",""hr"")"),"Zaustavna ploča")</f>
        <v>Zaustavna ploča</v>
      </c>
    </row>
    <row r="1076" spans="1:2" x14ac:dyDescent="0.2">
      <c r="A1076" s="21">
        <v>7074067</v>
      </c>
      <c r="B1076" s="18" t="str">
        <f ca="1">IFERROR(__xludf.DUMMYFUNCTION("GOOGLETRANSLATE(C2821,""en"",""hr"")"),"Štap")</f>
        <v>Štap</v>
      </c>
    </row>
    <row r="1077" spans="1:2" x14ac:dyDescent="0.2">
      <c r="A1077" s="21">
        <v>7074069</v>
      </c>
      <c r="B1077" s="18" t="str">
        <f ca="1">IFERROR(__xludf.DUMMYFUNCTION("GOOGLETRANSLATE(C2868,""en"",""hr"")"),"Poluga za vožnju unazad")</f>
        <v>Poluga za vožnju unazad</v>
      </c>
    </row>
    <row r="1078" spans="1:2" x14ac:dyDescent="0.2">
      <c r="A1078" s="21">
        <v>7074074</v>
      </c>
      <c r="B1078" s="18" t="str">
        <f ca="1">IFERROR(__xludf.DUMMYFUNCTION("GOOGLETRANSLATE(C2824,""en"",""hr"")"),"Zbrinjavanje držača grede")</f>
        <v>Zbrinjavanje držača grede</v>
      </c>
    </row>
    <row r="1079" spans="1:2" x14ac:dyDescent="0.2">
      <c r="A1079" s="21">
        <v>7074077</v>
      </c>
      <c r="B1079" s="18" t="str">
        <f ca="1">IFERROR(__xludf.DUMMYFUNCTION("GOOGLETRANSLATE(C2909,""en"",""hr"")"),"Držač")</f>
        <v>Držač</v>
      </c>
    </row>
    <row r="1080" spans="1:2" x14ac:dyDescent="0.2">
      <c r="A1080" s="21">
        <v>7074078</v>
      </c>
      <c r="B1080" s="18" t="str">
        <f ca="1">IFERROR(__xludf.DUMMYFUNCTION("GOOGLETRANSLATE(C2916,""en"",""hr"")"),"Prsten, odstojnik")</f>
        <v>Prsten, odstojnik</v>
      </c>
    </row>
    <row r="1081" spans="1:2" x14ac:dyDescent="0.2">
      <c r="A1081" s="21">
        <v>7074082</v>
      </c>
      <c r="B1081" s="18" t="str">
        <f ca="1">IFERROR(__xludf.DUMMYFUNCTION("GOOGLETRANSLATE(C2844,""en"",""hr"")"),"brava")</f>
        <v>brava</v>
      </c>
    </row>
    <row r="1082" spans="1:2" x14ac:dyDescent="0.2">
      <c r="A1082" s="21">
        <v>7074099</v>
      </c>
      <c r="B1082" s="18" t="str">
        <f ca="1">IFERROR(__xludf.DUMMYFUNCTION("GOOGLETRANSLATE(C3009,""en"",""hr"")"),"Držač")</f>
        <v>Držač</v>
      </c>
    </row>
    <row r="1083" spans="1:2" x14ac:dyDescent="0.2">
      <c r="A1083" s="21">
        <v>7074105</v>
      </c>
      <c r="B1083" s="18" t="str">
        <f ca="1">IFERROR(__xludf.DUMMYFUNCTION("GOOGLETRANSLATE(C1975,""en"",""hr"")"),"Metla Ovjes lijevo")</f>
        <v>Metla Ovjes lijevo</v>
      </c>
    </row>
    <row r="1084" spans="1:2" x14ac:dyDescent="0.2">
      <c r="A1084" s="21">
        <v>7074122</v>
      </c>
      <c r="B1084" s="18" t="str">
        <f ca="1">IFERROR(__xludf.DUMMYFUNCTION("GOOGLETRANSLATE(C1974,""en"",""hr"")"),"Metla Ovjes desno")</f>
        <v>Metla Ovjes desno</v>
      </c>
    </row>
    <row r="1085" spans="1:2" x14ac:dyDescent="0.2">
      <c r="A1085" s="21">
        <v>7074166</v>
      </c>
      <c r="B1085" s="18" t="str">
        <f ca="1">IFERROR(__xludf.DUMMYFUNCTION("GOOGLETRANSLATE(C5355,""en"",""hr"")"),"Supporto")</f>
        <v>Supporto</v>
      </c>
    </row>
    <row r="1086" spans="1:2" x14ac:dyDescent="0.2">
      <c r="A1086" s="21">
        <v>7074183</v>
      </c>
      <c r="B1086" s="18" t="str">
        <f ca="1">IFERROR(__xludf.DUMMYFUNCTION("GOOGLETRANSLATE(C4268,""en"",""hr"")"),"Cijev za umetanje")</f>
        <v>Cijev za umetanje</v>
      </c>
    </row>
    <row r="1087" spans="1:2" x14ac:dyDescent="0.2">
      <c r="A1087" s="21">
        <v>7074188</v>
      </c>
      <c r="B1087" s="18" t="str">
        <f ca="1">IFERROR(__xludf.DUMMYFUNCTION("GOOGLETRANSLATE(C4479,""en"",""hr"")"),"Odstojna cijev")</f>
        <v>Odstojna cijev</v>
      </c>
    </row>
    <row r="1088" spans="1:2" x14ac:dyDescent="0.2">
      <c r="A1088" s="21">
        <v>7074202</v>
      </c>
      <c r="B1088" s="18" t="str">
        <f ca="1">IFERROR(__xludf.DUMMYFUNCTION("GOOGLETRANSLATE(C611,""en"",""hr"")"),"Glavni cilindar kočnice")</f>
        <v>Glavni cilindar kočnice</v>
      </c>
    </row>
    <row r="1089" spans="1:2" x14ac:dyDescent="0.2">
      <c r="A1089" s="21">
        <v>7074212</v>
      </c>
      <c r="B1089" s="18" t="str">
        <f ca="1">IFERROR(__xludf.DUMMYFUNCTION("GOOGLETRANSLATE(C5901,""en"",""hr"")"),"Kontrolni blok")</f>
        <v>Kontrolni blok</v>
      </c>
    </row>
    <row r="1090" spans="1:2" x14ac:dyDescent="0.2">
      <c r="A1090" s="21">
        <v>7074217</v>
      </c>
      <c r="B1090" s="18" t="str">
        <f ca="1">IFERROR(__xludf.DUMMYFUNCTION("GOOGLETRANSLATE(C6836,""en"",""hr"")"),"Držač")</f>
        <v>Držač</v>
      </c>
    </row>
    <row r="1091" spans="1:2" x14ac:dyDescent="0.2">
      <c r="A1091" s="21">
        <v>7074258</v>
      </c>
      <c r="B1091" s="18" t="str">
        <f ca="1">IFERROR(__xludf.DUMMYFUNCTION("GOOGLETRANSLATE(C5159,""en"",""hr"")"),"Oplata")</f>
        <v>Oplata</v>
      </c>
    </row>
    <row r="1092" spans="1:2" x14ac:dyDescent="0.2">
      <c r="A1092" s="21">
        <v>7074264</v>
      </c>
      <c r="B1092" s="18" t="str">
        <f ca="1">IFERROR(__xludf.DUMMYFUNCTION("GOOGLETRANSLATE(C5957,""en"",""hr"")"),"Crijevo")</f>
        <v>Crijevo</v>
      </c>
    </row>
    <row r="1093" spans="1:2" x14ac:dyDescent="0.2">
      <c r="A1093" s="21">
        <v>7074276</v>
      </c>
      <c r="B1093" s="18" t="str">
        <f ca="1">IFERROR(__xludf.DUMMYFUNCTION("GOOGLETRANSLATE(C598,""en"",""hr"")"),"Adapter")</f>
        <v>Adapter</v>
      </c>
    </row>
    <row r="1094" spans="1:2" x14ac:dyDescent="0.2">
      <c r="A1094" s="21">
        <v>7074299</v>
      </c>
      <c r="B1094" s="18" t="str">
        <f ca="1">IFERROR(__xludf.DUMMYFUNCTION("GOOGLETRANSLATE(C3532,""en"",""hr"")"),"Guma")</f>
        <v>Guma</v>
      </c>
    </row>
    <row r="1095" spans="1:2" x14ac:dyDescent="0.2">
      <c r="A1095" s="21">
        <v>7074309</v>
      </c>
      <c r="B1095" s="18" t="str">
        <f ca="1">IFERROR(__xludf.DUMMYFUNCTION("GOOGLETRANSLATE(C613,""en"",""hr"")"),"Perilica")</f>
        <v>Perilica</v>
      </c>
    </row>
    <row r="1096" spans="1:2" x14ac:dyDescent="0.2">
      <c r="A1096" s="21">
        <v>7074312</v>
      </c>
      <c r="B1096" s="18" t="str">
        <f ca="1">IFERROR(__xludf.DUMMYFUNCTION("GOOGLETRANSLATE(C614,""en"",""hr"")"),"Potporni prsten")</f>
        <v>Potporni prsten</v>
      </c>
    </row>
    <row r="1097" spans="1:2" x14ac:dyDescent="0.2">
      <c r="A1097" s="21">
        <v>7074313</v>
      </c>
      <c r="B1097" s="18" t="str">
        <f ca="1">IFERROR(__xludf.DUMMYFUNCTION("GOOGLETRANSLATE(C612,""en"",""hr"")"),"Tlačna šipka")</f>
        <v>Tlačna šipka</v>
      </c>
    </row>
    <row r="1098" spans="1:2" x14ac:dyDescent="0.2">
      <c r="A1098" s="21">
        <v>7074314</v>
      </c>
      <c r="B1098" s="18" t="str">
        <f ca="1">IFERROR(__xludf.DUMMYFUNCTION("GOOGLETRANSLATE(C5009,""en"",""hr"")"),"Vrh profila")</f>
        <v>Vrh profila</v>
      </c>
    </row>
    <row r="1099" spans="1:2" x14ac:dyDescent="0.2">
      <c r="A1099" s="21">
        <v>7074316</v>
      </c>
      <c r="B1099" s="18" t="str">
        <f ca="1">IFERROR(__xludf.DUMMYFUNCTION("GOOGLETRANSLATE(C5016,""en"",""hr"")"),"Profil donji")</f>
        <v>Profil donji</v>
      </c>
    </row>
    <row r="1100" spans="1:2" x14ac:dyDescent="0.2">
      <c r="A1100" s="21">
        <v>7074319</v>
      </c>
      <c r="B1100" s="18" t="str">
        <f ca="1">IFERROR(__xludf.DUMMYFUNCTION("GOOGLETRANSLATE(C5012,""en"",""hr"")"),"Profil")</f>
        <v>Profil</v>
      </c>
    </row>
    <row r="1101" spans="1:2" x14ac:dyDescent="0.2">
      <c r="A1101" s="21">
        <v>7074321</v>
      </c>
      <c r="B1101" s="18" t="str">
        <f ca="1">IFERROR(__xludf.DUMMYFUNCTION("GOOGLETRANSLATE(C5010,""en"",""hr"")"),"Profil")</f>
        <v>Profil</v>
      </c>
    </row>
    <row r="1102" spans="1:2" x14ac:dyDescent="0.2">
      <c r="A1102" s="21">
        <v>7074324</v>
      </c>
      <c r="B1102" s="18" t="str">
        <f ca="1">IFERROR(__xludf.DUMMYFUNCTION("GOOGLETRANSLATE(C5015,""en"",""hr"")"),"brava")</f>
        <v>brava</v>
      </c>
    </row>
    <row r="1103" spans="1:2" x14ac:dyDescent="0.2">
      <c r="A1103" s="21">
        <v>7074328</v>
      </c>
      <c r="B1103" s="18" t="str">
        <f ca="1">IFERROR(__xludf.DUMMYFUNCTION("GOOGLETRANSLATE(C5018,""en"",""hr"")"),"Donji nosač")</f>
        <v>Donji nosač</v>
      </c>
    </row>
    <row r="1104" spans="1:2" x14ac:dyDescent="0.2">
      <c r="A1104" s="21">
        <v>7074329</v>
      </c>
      <c r="B1104" s="18" t="str">
        <f ca="1">IFERROR(__xludf.DUMMYFUNCTION("GOOGLETRANSLATE(C5013,""en"",""hr"")"),"Profil")</f>
        <v>Profil</v>
      </c>
    </row>
    <row r="1105" spans="1:2" x14ac:dyDescent="0.2">
      <c r="A1105" s="21">
        <v>7074332</v>
      </c>
      <c r="B1105" s="18" t="str">
        <f ca="1">IFERROR(__xludf.DUMMYFUNCTION("GOOGLETRANSLATE(C5053,""en"",""hr"")"),"Distantni grm")</f>
        <v>Distantni grm</v>
      </c>
    </row>
    <row r="1106" spans="1:2" x14ac:dyDescent="0.2">
      <c r="A1106" s="21">
        <v>7074334</v>
      </c>
      <c r="B1106" s="18" t="str">
        <f ca="1">IFERROR(__xludf.DUMMYFUNCTION("GOOGLETRANSLATE(C5051,""en"",""hr"")"),"Poluga")</f>
        <v>Poluga</v>
      </c>
    </row>
    <row r="1107" spans="1:2" x14ac:dyDescent="0.2">
      <c r="A1107" s="21">
        <v>7074338</v>
      </c>
      <c r="B1107" s="18" t="str">
        <f ca="1">IFERROR(__xludf.DUMMYFUNCTION("GOOGLETRANSLATE(C5067,""en"",""hr"")"),"Kontrolni kabel")</f>
        <v>Kontrolni kabel</v>
      </c>
    </row>
    <row r="1108" spans="1:2" x14ac:dyDescent="0.2">
      <c r="A1108" s="21">
        <v>7074346</v>
      </c>
      <c r="B1108" s="18" t="str">
        <f ca="1">IFERROR(__xludf.DUMMYFUNCTION("GOOGLETRANSLATE(C5022,""en"",""hr"")"),"Profil LH")</f>
        <v>Profil LH</v>
      </c>
    </row>
    <row r="1109" spans="1:2" x14ac:dyDescent="0.2">
      <c r="A1109" s="21">
        <v>7074349</v>
      </c>
      <c r="B1109" s="18" t="str">
        <f ca="1">IFERROR(__xludf.DUMMYFUNCTION("GOOGLETRANSLATE(C5026,""en"",""hr"")"),"Profil")</f>
        <v>Profil</v>
      </c>
    </row>
    <row r="1110" spans="1:2" x14ac:dyDescent="0.2">
      <c r="A1110" s="21">
        <v>7074358</v>
      </c>
      <c r="B1110" s="18" t="str">
        <f ca="1">IFERROR(__xludf.DUMMYFUNCTION("GOOGLETRANSLATE(C5014,""en"",""hr"")"),"Profil")</f>
        <v>Profil</v>
      </c>
    </row>
    <row r="1111" spans="1:2" x14ac:dyDescent="0.2">
      <c r="A1111" s="21">
        <v>7074359</v>
      </c>
      <c r="B1111" s="18" t="str">
        <f ca="1">IFERROR(__xludf.DUMMYFUNCTION("GOOGLETRANSLATE(C5081,""en"",""hr"")"),"Poluga")</f>
        <v>Poluga</v>
      </c>
    </row>
    <row r="1112" spans="1:2" x14ac:dyDescent="0.2">
      <c r="A1112" s="21">
        <v>7074360</v>
      </c>
      <c r="B1112" s="18" t="str">
        <f ca="1">IFERROR(__xludf.DUMMYFUNCTION("GOOGLETRANSLATE(C5097,""en"",""hr"")"),"Kontrolni kabel")</f>
        <v>Kontrolni kabel</v>
      </c>
    </row>
    <row r="1113" spans="1:2" x14ac:dyDescent="0.2">
      <c r="A1113" s="21">
        <v>7074361</v>
      </c>
      <c r="B1113" s="18" t="str">
        <f ca="1">IFERROR(__xludf.DUMMYFUNCTION("GOOGLETRANSLATE(C5023,""en"",""hr"")"),"Profil")</f>
        <v>Profil</v>
      </c>
    </row>
    <row r="1114" spans="1:2" x14ac:dyDescent="0.2">
      <c r="A1114" s="21">
        <v>7074363</v>
      </c>
      <c r="B1114" s="18" t="str">
        <f ca="1">IFERROR(__xludf.DUMMYFUNCTION("GOOGLETRANSLATE(C5027,""en"",""hr"")"),"Profil")</f>
        <v>Profil</v>
      </c>
    </row>
    <row r="1115" spans="1:2" x14ac:dyDescent="0.2">
      <c r="A1115" s="21">
        <v>7074364</v>
      </c>
      <c r="B1115" s="18" t="str">
        <f ca="1">IFERROR(__xludf.DUMMYFUNCTION("GOOGLETRANSLATE(C1472,""en"",""hr"")"),"Hladnjak rashladne tekućine")</f>
        <v>Hladnjak rashladne tekućine</v>
      </c>
    </row>
    <row r="1116" spans="1:2" x14ac:dyDescent="0.2">
      <c r="A1116" s="21">
        <v>7074369</v>
      </c>
      <c r="B1116" s="18" t="str">
        <f ca="1">IFERROR(__xludf.DUMMYFUNCTION("GOOGLETRANSLATE(C5019,""en"",""hr"")"),"Donji nosač")</f>
        <v>Donji nosač</v>
      </c>
    </row>
    <row r="1117" spans="1:2" x14ac:dyDescent="0.2">
      <c r="A1117" s="21">
        <v>7074371</v>
      </c>
      <c r="B1117" s="18" t="str">
        <f ca="1">IFERROR(__xludf.DUMMYFUNCTION("GOOGLETRANSLATE(C5060,""en"",""hr"")"),"Držač")</f>
        <v>Držač</v>
      </c>
    </row>
    <row r="1118" spans="1:2" x14ac:dyDescent="0.2">
      <c r="A1118" s="21">
        <v>7074373</v>
      </c>
      <c r="B1118" s="18" t="str">
        <f ca="1">IFERROR(__xludf.DUMMYFUNCTION("GOOGLETRANSLATE(C5086,""en"",""hr"")"),"Klipnjača")</f>
        <v>Klipnjača</v>
      </c>
    </row>
    <row r="1119" spans="1:2" x14ac:dyDescent="0.2">
      <c r="A1119" s="21">
        <v>7074374</v>
      </c>
      <c r="B1119" s="18" t="str">
        <f ca="1">IFERROR(__xludf.DUMMYFUNCTION("GOOGLETRANSLATE(C5087,""en"",""hr"")"),"Klipnjača")</f>
        <v>Klipnjača</v>
      </c>
    </row>
    <row r="1120" spans="1:2" x14ac:dyDescent="0.2">
      <c r="A1120" s="21">
        <v>7074381</v>
      </c>
      <c r="B1120" s="18" t="str">
        <f ca="1">IFERROR(__xludf.DUMMYFUNCTION("GOOGLETRANSLATE(C5183,""en"",""hr"")"),"Oblaganje")</f>
        <v>Oblaganje</v>
      </c>
    </row>
    <row r="1121" spans="1:2" x14ac:dyDescent="0.2">
      <c r="A1121" s="21">
        <v>7074393</v>
      </c>
      <c r="B1121" s="18" t="str">
        <f ca="1">IFERROR(__xludf.DUMMYFUNCTION("GOOGLETRANSLATE(C5056,""en"",""hr"")"),"Klipnjača")</f>
        <v>Klipnjača</v>
      </c>
    </row>
    <row r="1122" spans="1:2" x14ac:dyDescent="0.2">
      <c r="A1122" s="21">
        <v>7074558</v>
      </c>
      <c r="B1122" s="18" t="str">
        <f ca="1">IFERROR(__xludf.DUMMYFUNCTION("GOOGLETRANSLATE(C3376,""en"",""hr"")"),"Mehanizam za zaključavanje")</f>
        <v>Mehanizam za zaključavanje</v>
      </c>
    </row>
    <row r="1123" spans="1:2" x14ac:dyDescent="0.2">
      <c r="A1123" s="21">
        <v>7074562</v>
      </c>
      <c r="B1123" s="18" t="str">
        <f ca="1">IFERROR(__xludf.DUMMYFUNCTION("GOOGLETRANSLATE(C5194,""en"",""hr"")"),"Držač")</f>
        <v>Držač</v>
      </c>
    </row>
    <row r="1124" spans="1:2" x14ac:dyDescent="0.2">
      <c r="A1124" s="21">
        <v>7074635</v>
      </c>
      <c r="B1124" s="18" t="str">
        <f ca="1">IFERROR(__xludf.DUMMYFUNCTION("GOOGLETRANSLATE(C4588,""en"",""hr"")"),"Ventilska ručna pumpa")</f>
        <v>Ventilska ručna pumpa</v>
      </c>
    </row>
    <row r="1125" spans="1:2" x14ac:dyDescent="0.2">
      <c r="A1125" s="21">
        <v>7074755</v>
      </c>
      <c r="B1125" s="18" t="str">
        <f ca="1">IFERROR(__xludf.DUMMYFUNCTION("GOOGLETRANSLATE(C3531,""en"",""hr"")"),"Držač")</f>
        <v>Držač</v>
      </c>
    </row>
    <row r="1126" spans="1:2" x14ac:dyDescent="0.2">
      <c r="A1126" s="21">
        <v>7074758</v>
      </c>
      <c r="B1126" s="18" t="str">
        <f ca="1">IFERROR(__xludf.DUMMYFUNCTION("GOOGLETRANSLATE(C765,""en"",""hr"")"),"Držač")</f>
        <v>Držač</v>
      </c>
    </row>
    <row r="1127" spans="1:2" x14ac:dyDescent="0.2">
      <c r="A1127" s="21">
        <v>7074764</v>
      </c>
      <c r="B1127" s="18" t="str">
        <f ca="1">IFERROR(__xludf.DUMMYFUNCTION("GOOGLETRANSLATE(C767,""en"",""hr"")"),"Cijev")</f>
        <v>Cijev</v>
      </c>
    </row>
    <row r="1128" spans="1:2" x14ac:dyDescent="0.2">
      <c r="A1128" s="21">
        <v>7074808</v>
      </c>
      <c r="B1128" s="18" t="str">
        <f ca="1">IFERROR(__xludf.DUMMYFUNCTION("GOOGLETRANSLATE(C4324,""en"",""hr"")"),"Poklopac, bijeli")</f>
        <v>Poklopac, bijeli</v>
      </c>
    </row>
    <row r="1129" spans="1:2" x14ac:dyDescent="0.2">
      <c r="A1129" s="21">
        <v>7074853</v>
      </c>
      <c r="B1129" s="18" t="str">
        <f ca="1">IFERROR(__xludf.DUMMYFUNCTION("GOOGLETRANSLATE(C1923,""en"",""hr"")"),"Lim desni")</f>
        <v>Lim desni</v>
      </c>
    </row>
    <row r="1130" spans="1:2" x14ac:dyDescent="0.2">
      <c r="A1130" s="21">
        <v>7074854</v>
      </c>
      <c r="B1130" s="18" t="str">
        <f ca="1">IFERROR(__xludf.DUMMYFUNCTION("GOOGLETRANSLATE(C1922,""en"",""hr"")"),"Lim lijevo")</f>
        <v>Lim lijevo</v>
      </c>
    </row>
    <row r="1131" spans="1:2" x14ac:dyDescent="0.2">
      <c r="A1131" s="21">
        <v>7074858</v>
      </c>
      <c r="B1131" s="18" t="str">
        <f ca="1">IFERROR(__xludf.DUMMYFUNCTION("GOOGLETRANSLATE(C1924,""en"",""hr"")"),"Držač")</f>
        <v>Držač</v>
      </c>
    </row>
    <row r="1132" spans="1:2" x14ac:dyDescent="0.2">
      <c r="A1132" s="21">
        <v>7074933</v>
      </c>
      <c r="B1132" s="18" t="str">
        <f ca="1">IFERROR(__xludf.DUMMYFUNCTION("GOOGLETRANSLATE(C358,""en"",""hr"")"),"Felge 6.5Jx16 ET88")</f>
        <v>Felge 6.5Jx16 ET88</v>
      </c>
    </row>
    <row r="1133" spans="1:2" x14ac:dyDescent="0.2">
      <c r="A1133" s="21">
        <v>7074935</v>
      </c>
      <c r="B1133" s="18" t="str">
        <f ca="1">IFERROR(__xludf.DUMMYFUNCTION("GOOGLETRANSLATE(C357,""en"",""hr"")"),"Felge 6.5Jx16 ET33")</f>
        <v>Felge 6.5Jx16 ET33</v>
      </c>
    </row>
    <row r="1134" spans="1:2" x14ac:dyDescent="0.2">
      <c r="A1134" s="21">
        <v>7074968</v>
      </c>
      <c r="B1134" s="18" t="str">
        <f ca="1">IFERROR(__xludf.DUMMYFUNCTION("GOOGLETRANSLATE(C3923,""en"",""hr"")"),"Štap")</f>
        <v>Štap</v>
      </c>
    </row>
    <row r="1135" spans="1:2" x14ac:dyDescent="0.2">
      <c r="A1135" s="21">
        <v>7074974</v>
      </c>
      <c r="B1135" s="18" t="str">
        <f ca="1">IFERROR(__xludf.DUMMYFUNCTION("GOOGLETRANSLATE(C3924,""en"",""hr"")"),"Držač")</f>
        <v>Držač</v>
      </c>
    </row>
    <row r="1136" spans="1:2" x14ac:dyDescent="0.2">
      <c r="A1136" s="21">
        <v>7075099</v>
      </c>
      <c r="B1136" s="18" t="str">
        <f ca="1">IFERROR(__xludf.DUMMYFUNCTION("GOOGLETRANSLATE(C3316,""en"",""hr"")"),"Stezna traka")</f>
        <v>Stezna traka</v>
      </c>
    </row>
    <row r="1137" spans="1:2" x14ac:dyDescent="0.2">
      <c r="A1137" s="21">
        <v>7075101</v>
      </c>
      <c r="B1137" s="18" t="str">
        <f ca="1">IFERROR(__xludf.DUMMYFUNCTION("GOOGLETRANSLATE(C4131,""en"",""hr"")"),"Držač")</f>
        <v>Držač</v>
      </c>
    </row>
    <row r="1138" spans="1:2" x14ac:dyDescent="0.2">
      <c r="A1138" s="21">
        <v>7075102</v>
      </c>
      <c r="B1138" s="18" t="str">
        <f ca="1">IFERROR(__xludf.DUMMYFUNCTION("GOOGLETRANSLATE(C4132,""en"",""hr"")"),"Držač")</f>
        <v>Držač</v>
      </c>
    </row>
    <row r="1139" spans="1:2" x14ac:dyDescent="0.2">
      <c r="A1139" s="21">
        <v>7075182</v>
      </c>
      <c r="B1139" s="18" t="str">
        <f ca="1">IFERROR(__xludf.DUMMYFUNCTION("GOOGLETRANSLATE(C4465,""en"",""hr"")"),"brtva")</f>
        <v>brtva</v>
      </c>
    </row>
    <row r="1140" spans="1:2" x14ac:dyDescent="0.2">
      <c r="A1140" s="21">
        <v>7075214</v>
      </c>
      <c r="B1140" s="18" t="str">
        <f ca="1">IFERROR(__xludf.DUMMYFUNCTION("GOOGLETRANSLATE(C3146,""en"",""hr"")"),"Deflektor")</f>
        <v>Deflektor</v>
      </c>
    </row>
    <row r="1141" spans="1:2" x14ac:dyDescent="0.2">
      <c r="A1141" s="21">
        <v>7075311</v>
      </c>
      <c r="B1141" s="18" t="str">
        <f ca="1">IFERROR(__xludf.DUMMYFUNCTION("GOOGLETRANSLATE(C5468,""en"",""hr"")"),"Odstojna cijev")</f>
        <v>Odstojna cijev</v>
      </c>
    </row>
    <row r="1142" spans="1:2" x14ac:dyDescent="0.2">
      <c r="A1142" s="21">
        <v>7075327</v>
      </c>
      <c r="B1142" s="18" t="str">
        <f ca="1">IFERROR(__xludf.DUMMYFUNCTION("GOOGLETRANSLATE(C5469,""en"",""hr"")"),"Sigurnosni pojas")</f>
        <v>Sigurnosni pojas</v>
      </c>
    </row>
    <row r="1143" spans="1:2" x14ac:dyDescent="0.2">
      <c r="A1143" s="21">
        <v>7075348</v>
      </c>
      <c r="B1143" s="18" t="str">
        <f ca="1">IFERROR(__xludf.DUMMYFUNCTION("GOOGLETRANSLATE(C4770,""en"",""hr"")"),"Lim, bijeli")</f>
        <v>Lim, bijeli</v>
      </c>
    </row>
    <row r="1144" spans="1:2" x14ac:dyDescent="0.2">
      <c r="A1144" s="21">
        <v>7075386</v>
      </c>
      <c r="B1144" s="18" t="str">
        <f ca="1">IFERROR(__xludf.DUMMYFUNCTION("GOOGLETRANSLATE(C4950,""en"",""hr"")"),"Podna prostirka")</f>
        <v>Podna prostirka</v>
      </c>
    </row>
    <row r="1145" spans="1:2" x14ac:dyDescent="0.2">
      <c r="A1145" s="21">
        <v>7075399</v>
      </c>
      <c r="B1145" s="18" t="str">
        <f ca="1">IFERROR(__xludf.DUMMYFUNCTION("GOOGLETRANSLATE(C4949,""en"",""hr"")"),"Podna prostirka")</f>
        <v>Podna prostirka</v>
      </c>
    </row>
    <row r="1146" spans="1:2" x14ac:dyDescent="0.2">
      <c r="A1146" s="21">
        <v>7075450</v>
      </c>
      <c r="B1146" s="18" t="str">
        <f ca="1">IFERROR(__xludf.DUMMYFUNCTION("GOOGLETRANSLATE(C5035,""en"",""hr"")"),"Profil šarke za vrata")</f>
        <v>Profil šarke za vrata</v>
      </c>
    </row>
    <row r="1147" spans="1:2" x14ac:dyDescent="0.2">
      <c r="A1147" s="21">
        <v>7075451</v>
      </c>
      <c r="B1147" s="18" t="str">
        <f ca="1">IFERROR(__xludf.DUMMYFUNCTION("GOOGLETRANSLATE(C5036,""en"",""hr"")"),"Kontra ploča")</f>
        <v>Kontra ploča</v>
      </c>
    </row>
    <row r="1148" spans="1:2" x14ac:dyDescent="0.2">
      <c r="A1148" s="21">
        <v>7075455</v>
      </c>
      <c r="B1148" s="18" t="str">
        <f ca="1">IFERROR(__xludf.DUMMYFUNCTION("GOOGLETRANSLATE(C5034,""en"",""hr"")"),"Kontra ploča")</f>
        <v>Kontra ploča</v>
      </c>
    </row>
    <row r="1149" spans="1:2" x14ac:dyDescent="0.2">
      <c r="A1149" s="21">
        <v>7075461</v>
      </c>
      <c r="B1149" s="18" t="str">
        <f ca="1">IFERROR(__xludf.DUMMYFUNCTION("GOOGLETRANSLATE(C5001,""en"",""hr"")"),"Vrata, lijevo")</f>
        <v>Vrata, lijevo</v>
      </c>
    </row>
    <row r="1150" spans="1:2" x14ac:dyDescent="0.2">
      <c r="A1150" s="21">
        <v>7075499</v>
      </c>
      <c r="B1150" s="18" t="str">
        <f ca="1">IFERROR(__xludf.DUMMYFUNCTION("GOOGLETRANSLATE(C6313,""en"",""hr"")"),"Ožičenje (+PP-DV)")</f>
        <v>Ožičenje (+PP-DV)</v>
      </c>
    </row>
    <row r="1151" spans="1:2" x14ac:dyDescent="0.2">
      <c r="A1151" s="21">
        <v>7075500</v>
      </c>
      <c r="B1151" s="18" t="str">
        <f ca="1">IFERROR(__xludf.DUMMYFUNCTION("GOOGLETRANSLATE(C6314,""en"",""hr"")"),"Ožičenje (+PP-DV)")</f>
        <v>Ožičenje (+PP-DV)</v>
      </c>
    </row>
    <row r="1152" spans="1:2" x14ac:dyDescent="0.2">
      <c r="A1152" s="21">
        <v>7075508</v>
      </c>
      <c r="B1152" s="18" t="str">
        <f ca="1">IFERROR(__xludf.DUMMYFUNCTION("GOOGLETRANSLATE(C6315,""en"",""hr"")"),"Ožičenje (+PP-DV)")</f>
        <v>Ožičenje (+PP-DV)</v>
      </c>
    </row>
    <row r="1153" spans="1:2" x14ac:dyDescent="0.2">
      <c r="A1153" s="21">
        <v>7075574</v>
      </c>
      <c r="B1153" s="18" t="str">
        <f ca="1">IFERROR(__xludf.DUMMYFUNCTION("GOOGLETRANSLATE(C5314,""en"",""hr"")"),"Držač")</f>
        <v>Držač</v>
      </c>
    </row>
    <row r="1154" spans="1:2" x14ac:dyDescent="0.2">
      <c r="A1154" s="21">
        <v>7075645</v>
      </c>
      <c r="B1154" s="18" t="str">
        <f ca="1">IFERROR(__xludf.DUMMYFUNCTION("GOOGLETRANSLATE(C6311,""en"",""hr"")"),"Ožičenje (+TD-H)")</f>
        <v>Ožičenje (+TD-H)</v>
      </c>
    </row>
    <row r="1155" spans="1:2" x14ac:dyDescent="0.2">
      <c r="A1155" s="21">
        <v>7075684</v>
      </c>
      <c r="B1155" s="18" t="str">
        <f ca="1">IFERROR(__xludf.DUMMYFUNCTION("GOOGLETRANSLATE(C216,""en"",""hr"")"),"Kompresor klime")</f>
        <v>Kompresor klime</v>
      </c>
    </row>
    <row r="1156" spans="1:2" x14ac:dyDescent="0.2">
      <c r="A1156" s="21">
        <v>7075751</v>
      </c>
      <c r="B1156" s="18" t="str">
        <f ca="1">IFERROR(__xludf.DUMMYFUNCTION("GOOGLETRANSLATE(C1099,""en"",""hr"")"),"Senzor razine dizela")</f>
        <v>Senzor razine dizela</v>
      </c>
    </row>
    <row r="1157" spans="1:2" x14ac:dyDescent="0.2">
      <c r="A1157" s="21">
        <v>7075758</v>
      </c>
      <c r="B1157" s="18" t="str">
        <f ca="1">IFERROR(__xludf.DUMMYFUNCTION("GOOGLETRANSLATE(C5313,""en"",""hr"")"),"Držač")</f>
        <v>Držač</v>
      </c>
    </row>
    <row r="1158" spans="1:2" x14ac:dyDescent="0.2">
      <c r="A1158" s="21">
        <v>7075761</v>
      </c>
      <c r="B1158" s="18" t="str">
        <f ca="1">IFERROR(__xludf.DUMMYFUNCTION("GOOGLETRANSLATE(C5297,""en"",""hr"")"),"Prikaz")</f>
        <v>Prikaz</v>
      </c>
    </row>
    <row r="1159" spans="1:2" x14ac:dyDescent="0.2">
      <c r="A1159" s="21">
        <v>7075779</v>
      </c>
      <c r="B1159" s="18" t="str">
        <f ca="1">IFERROR(__xludf.DUMMYFUNCTION("GOOGLETRANSLATE(C5059,""en"",""hr"")"),"Ključ i brava vrata kabine CC21")</f>
        <v>Ključ i brava vrata kabine CC21</v>
      </c>
    </row>
    <row r="1160" spans="1:2" x14ac:dyDescent="0.2">
      <c r="A1160" s="21">
        <v>7075783</v>
      </c>
      <c r="B1160" s="18" t="str">
        <f ca="1">IFERROR(__xludf.DUMMYFUNCTION("GOOGLETRANSLATE(C1101,""en"",""hr"")"),"Ključ za paljenje CC21")</f>
        <v>Ključ za paljenje CC21</v>
      </c>
    </row>
    <row r="1161" spans="1:2" x14ac:dyDescent="0.2">
      <c r="A1161" s="21">
        <v>7075786</v>
      </c>
      <c r="B1161" s="18" t="str">
        <f ca="1">IFERROR(__xludf.DUMMYFUNCTION("GOOGLETRANSLATE(C3932,""en"",""hr"")"),"Ručka")</f>
        <v>Ručka</v>
      </c>
    </row>
    <row r="1162" spans="1:2" x14ac:dyDescent="0.2">
      <c r="A1162" s="21">
        <v>7075898</v>
      </c>
      <c r="B1162" s="18" t="str">
        <f ca="1">IFERROR(__xludf.DUMMYFUNCTION("GOOGLETRANSLATE(C4225,""en"",""hr"")"),"podrška")</f>
        <v>podrška</v>
      </c>
    </row>
    <row r="1163" spans="1:2" x14ac:dyDescent="0.2">
      <c r="A1163" s="21">
        <v>7075901</v>
      </c>
      <c r="B1163" s="18" t="str">
        <f ca="1">IFERROR(__xludf.DUMMYFUNCTION("GOOGLETRANSLATE(C4173,""en"",""hr"")"),"Okretni")</f>
        <v>Okretni</v>
      </c>
    </row>
    <row r="1164" spans="1:2" x14ac:dyDescent="0.2">
      <c r="A1164" s="21">
        <v>7075905</v>
      </c>
      <c r="B1164" s="18" t="str">
        <f ca="1">IFERROR(__xludf.DUMMYFUNCTION("GOOGLETRANSLATE(C4244,""en"",""hr"")"),"Ruka grane")</f>
        <v>Ruka grane</v>
      </c>
    </row>
    <row r="1165" spans="1:2" x14ac:dyDescent="0.2">
      <c r="A1165" s="21">
        <v>7075908</v>
      </c>
      <c r="B1165" s="18" t="str">
        <f ca="1">IFERROR(__xludf.DUMMYFUNCTION("GOOGLETRANSLATE(C4178,""en"",""hr"")"),"Boom Arm")</f>
        <v>Boom Arm</v>
      </c>
    </row>
    <row r="1166" spans="1:2" x14ac:dyDescent="0.2">
      <c r="A1166" s="21">
        <v>7075915</v>
      </c>
      <c r="B1166" s="18" t="str">
        <f ca="1">IFERROR(__xludf.DUMMYFUNCTION("GOOGLETRANSLATE(C6671,""en"",""hr"")"),"Držač")</f>
        <v>Držač</v>
      </c>
    </row>
    <row r="1167" spans="1:2" x14ac:dyDescent="0.2">
      <c r="A1167" s="21">
        <v>7075929</v>
      </c>
      <c r="B1167" s="18" t="str">
        <f ca="1">IFERROR(__xludf.DUMMYFUNCTION("GOOGLETRANSLATE(C5280,""en"",""hr"")"),"Supporto")</f>
        <v>Supporto</v>
      </c>
    </row>
    <row r="1168" spans="1:2" x14ac:dyDescent="0.2">
      <c r="A1168" s="21">
        <v>7075935</v>
      </c>
      <c r="B1168" s="18" t="str">
        <f ca="1">IFERROR(__xludf.DUMMYFUNCTION("GOOGLETRANSLATE(C5900,""en"",""hr"")"),"Kontrolni blok")</f>
        <v>Kontrolni blok</v>
      </c>
    </row>
    <row r="1169" spans="1:2" x14ac:dyDescent="0.2">
      <c r="A1169" s="21">
        <v>7075957</v>
      </c>
      <c r="B1169" s="18" t="str">
        <f ca="1">IFERROR(__xludf.DUMMYFUNCTION("GOOGLETRANSLATE(C5152,""en"",""hr"")"),"Oplata")</f>
        <v>Oplata</v>
      </c>
    </row>
    <row r="1170" spans="1:2" x14ac:dyDescent="0.2">
      <c r="A1170" s="21">
        <v>7075990</v>
      </c>
      <c r="B1170" s="18" t="str">
        <f ca="1">IFERROR(__xludf.DUMMYFUNCTION("GOOGLETRANSLATE(C4177,""en"",""hr"")"),"Konzola")</f>
        <v>Konzola</v>
      </c>
    </row>
    <row r="1171" spans="1:2" x14ac:dyDescent="0.2">
      <c r="A1171" s="21">
        <v>7076023</v>
      </c>
      <c r="B1171" s="18" t="str">
        <f ca="1">IFERROR(__xludf.DUMMYFUNCTION("GOOGLETRANSLATE(C4215,""en"",""hr"")"),"Osovina")</f>
        <v>Osovina</v>
      </c>
    </row>
    <row r="1172" spans="1:2" x14ac:dyDescent="0.2">
      <c r="A1172" s="21">
        <v>7076024</v>
      </c>
      <c r="B1172" s="18" t="str">
        <f ca="1">IFERROR(__xludf.DUMMYFUNCTION("GOOGLETRANSLATE(C2884,""en"",""hr"")"),"Theraded šipka")</f>
        <v>Theraded šipka</v>
      </c>
    </row>
    <row r="1173" spans="1:2" x14ac:dyDescent="0.2">
      <c r="A1173" s="21">
        <v>7076056</v>
      </c>
      <c r="B1173" s="18" t="str">
        <f ca="1">IFERROR(__xludf.DUMMYFUNCTION("GOOGLETRANSLATE(C5444,""en"",""hr"")"),"Straža")</f>
        <v>Straža</v>
      </c>
    </row>
    <row r="1174" spans="1:2" x14ac:dyDescent="0.2">
      <c r="A1174" s="21">
        <v>7076057</v>
      </c>
      <c r="B1174" s="18" t="str">
        <f ca="1">IFERROR(__xludf.DUMMYFUNCTION("GOOGLETRANSLATE(C5070,""en"",""hr"")"),"Zasun za zatvaranje")</f>
        <v>Zasun za zatvaranje</v>
      </c>
    </row>
    <row r="1175" spans="1:2" x14ac:dyDescent="0.2">
      <c r="A1175" s="21">
        <v>7076058</v>
      </c>
      <c r="B1175" s="18" t="str">
        <f ca="1">IFERROR(__xludf.DUMMYFUNCTION("GOOGLETRANSLATE(C5071,""en"",""hr"")"),"Blokirati")</f>
        <v>Blokirati</v>
      </c>
    </row>
    <row r="1176" spans="1:2" x14ac:dyDescent="0.2">
      <c r="A1176" s="21">
        <v>7076060</v>
      </c>
      <c r="B1176" s="18" t="str">
        <f ca="1">IFERROR(__xludf.DUMMYFUNCTION("GOOGLETRANSLATE(C4180,""en"",""hr"")"),"Perilica")</f>
        <v>Perilica</v>
      </c>
    </row>
    <row r="1177" spans="1:2" x14ac:dyDescent="0.2">
      <c r="A1177" s="21">
        <v>7076062</v>
      </c>
      <c r="B1177" s="18" t="str">
        <f ca="1">IFERROR(__xludf.DUMMYFUNCTION("GOOGLETRANSLATE(C5002,""en"",""hr"")"),"Vrata, desno")</f>
        <v>Vrata, desno</v>
      </c>
    </row>
    <row r="1178" spans="1:2" x14ac:dyDescent="0.2">
      <c r="A1178" s="21">
        <v>7076067</v>
      </c>
      <c r="B1178" s="18" t="str">
        <f ca="1">IFERROR(__xludf.DUMMYFUNCTION("GOOGLETRANSLATE(C5072,""en"",""hr"")"),"Napetost opruge")</f>
        <v>Napetost opruge</v>
      </c>
    </row>
    <row r="1179" spans="1:2" x14ac:dyDescent="0.2">
      <c r="A1179" s="21">
        <v>7076092</v>
      </c>
      <c r="B1179" s="18" t="str">
        <f ca="1">IFERROR(__xludf.DUMMYFUNCTION("GOOGLETRANSLATE(C6635,""en"",""hr"")"),"Držač RH")</f>
        <v>Držač RH</v>
      </c>
    </row>
    <row r="1180" spans="1:2" x14ac:dyDescent="0.2">
      <c r="A1180" s="21">
        <v>7076108</v>
      </c>
      <c r="B1180" s="18" t="str">
        <f ca="1">IFERROR(__xludf.DUMMYFUNCTION("GOOGLETRANSLATE(C2886,""en"",""hr"")"),"Perilica")</f>
        <v>Perilica</v>
      </c>
    </row>
    <row r="1181" spans="1:2" x14ac:dyDescent="0.2">
      <c r="A1181" s="21">
        <v>7076110</v>
      </c>
      <c r="B1181" s="18" t="str">
        <f ca="1">IFERROR(__xludf.DUMMYFUNCTION("GOOGLETRANSLATE(C6830,""en"",""hr"")"),"Držač")</f>
        <v>Držač</v>
      </c>
    </row>
    <row r="1182" spans="1:2" x14ac:dyDescent="0.2">
      <c r="A1182" s="21">
        <v>7076150</v>
      </c>
      <c r="B1182" s="18" t="str">
        <f ca="1">IFERROR(__xludf.DUMMYFUNCTION("GOOGLETRANSLATE(C331,""en"",""hr"")"),"Branik uklj. podrška")</f>
        <v>Branik uklj. podrška</v>
      </c>
    </row>
    <row r="1183" spans="1:2" x14ac:dyDescent="0.2">
      <c r="A1183" s="21">
        <v>7076174</v>
      </c>
      <c r="B1183" s="18" t="str">
        <f ca="1">IFERROR(__xludf.DUMMYFUNCTION("GOOGLETRANSLATE(C636,""en"",""hr"")"),"Kapica glavčine")</f>
        <v>Kapica glavčine</v>
      </c>
    </row>
    <row r="1184" spans="1:2" x14ac:dyDescent="0.2">
      <c r="A1184" s="21">
        <v>7076208</v>
      </c>
      <c r="B1184" s="18" t="str">
        <f ca="1">IFERROR(__xludf.DUMMYFUNCTION("GOOGLETRANSLATE(C4256,""en"",""hr"")"),"Uređaj za zaključavanje")</f>
        <v>Uređaj za zaključavanje</v>
      </c>
    </row>
    <row r="1185" spans="1:2" x14ac:dyDescent="0.2">
      <c r="A1185" s="21">
        <v>7076216</v>
      </c>
      <c r="B1185" s="18" t="str">
        <f ca="1">IFERROR(__xludf.DUMMYFUNCTION("GOOGLETRANSLATE(C4189,""en"",""hr"")"),"Željeznica")</f>
        <v>Željeznica</v>
      </c>
    </row>
    <row r="1186" spans="1:2" x14ac:dyDescent="0.2">
      <c r="A1186" s="21">
        <v>7076302</v>
      </c>
      <c r="B1186" s="18" t="str">
        <f ca="1">IFERROR(__xludf.DUMMYFUNCTION("GOOGLETRANSLATE(C5429,""en"",""hr"")"),"Sjedalo desno, standardno")</f>
        <v>Sjedalo desno, standardno</v>
      </c>
    </row>
    <row r="1187" spans="1:2" x14ac:dyDescent="0.2">
      <c r="A1187" s="21">
        <v>7076303</v>
      </c>
      <c r="B1187" s="18" t="str">
        <f ca="1">IFERROR(__xludf.DUMMYFUNCTION("GOOGLETRANSLATE(C5430,""en"",""hr"")"),"Sjedalo lijevo, standardno bez pojasa")</f>
        <v>Sjedalo lijevo, standardno bez pojasa</v>
      </c>
    </row>
    <row r="1188" spans="1:2" x14ac:dyDescent="0.2">
      <c r="A1188" s="21">
        <v>7076385</v>
      </c>
      <c r="B1188" s="18" t="str">
        <f ca="1">IFERROR(__xludf.DUMMYFUNCTION("GOOGLETRANSLATE(C3184,""en"",""hr"")"),"Čahura")</f>
        <v>Čahura</v>
      </c>
    </row>
    <row r="1189" spans="1:2" x14ac:dyDescent="0.2">
      <c r="A1189" s="21">
        <v>7076397</v>
      </c>
      <c r="B1189" s="18" t="str">
        <f ca="1">IFERROR(__xludf.DUMMYFUNCTION("GOOGLETRANSLATE(C5285,""en"",""hr"")"),"Zaštita")</f>
        <v>Zaštita</v>
      </c>
    </row>
    <row r="1190" spans="1:2" x14ac:dyDescent="0.2">
      <c r="A1190" s="21">
        <v>7076419</v>
      </c>
      <c r="B1190" s="18" t="str">
        <f ca="1">IFERROR(__xludf.DUMMYFUNCTION("GOOGLETRANSLATE(C5282,""en"",""hr"")"),"Oplata")</f>
        <v>Oplata</v>
      </c>
    </row>
    <row r="1191" spans="1:2" x14ac:dyDescent="0.2">
      <c r="A1191" s="21">
        <v>7076431</v>
      </c>
      <c r="B1191" s="18" t="str">
        <f ca="1">IFERROR(__xludf.DUMMYFUNCTION("GOOGLETRANSLATE(C5281,""en"",""hr"")"),"Držač")</f>
        <v>Držač</v>
      </c>
    </row>
    <row r="1192" spans="1:2" x14ac:dyDescent="0.2">
      <c r="A1192" s="21">
        <v>7076445</v>
      </c>
      <c r="B1192" s="18" t="str">
        <f ca="1">IFERROR(__xludf.DUMMYFUNCTION("GOOGLETRANSLATE(C3085,""en"",""hr"")"),"Držač")</f>
        <v>Držač</v>
      </c>
    </row>
    <row r="1193" spans="1:2" x14ac:dyDescent="0.2">
      <c r="A1193" s="21">
        <v>7076446</v>
      </c>
      <c r="B1193" s="18" t="str">
        <f ca="1">IFERROR(__xludf.DUMMYFUNCTION("GOOGLETRANSLATE(C3084,""en"",""hr"")"),"Držač")</f>
        <v>Držač</v>
      </c>
    </row>
    <row r="1194" spans="1:2" x14ac:dyDescent="0.2">
      <c r="A1194" s="21">
        <v>7076448</v>
      </c>
      <c r="B1194" s="18" t="str">
        <f ca="1">IFERROR(__xludf.DUMMYFUNCTION("GOOGLETRANSLATE(C5283,""en"",""hr"")"),"Oplata")</f>
        <v>Oplata</v>
      </c>
    </row>
    <row r="1195" spans="1:2" x14ac:dyDescent="0.2">
      <c r="A1195" s="21">
        <v>7076523</v>
      </c>
      <c r="B1195" s="18" t="str">
        <f ca="1">IFERROR(__xludf.DUMMYFUNCTION("GOOGLETRANSLATE(C5124,""en"",""hr"")"),"Montažna ploča, lijevo")</f>
        <v>Montažna ploča, lijevo</v>
      </c>
    </row>
    <row r="1196" spans="1:2" x14ac:dyDescent="0.2">
      <c r="A1196" s="21">
        <v>7076524</v>
      </c>
      <c r="B1196" s="18" t="str">
        <f ca="1">IFERROR(__xludf.DUMMYFUNCTION("GOOGLETRANSLATE(C5127,""en"",""hr"")"),"Montažna ploča, desno")</f>
        <v>Montažna ploča, desno</v>
      </c>
    </row>
    <row r="1197" spans="1:2" x14ac:dyDescent="0.2">
      <c r="A1197" s="21">
        <v>7076537</v>
      </c>
      <c r="B1197" s="18" t="str">
        <f ca="1">IFERROR(__xludf.DUMMYFUNCTION("GOOGLETRANSLATE(C3419,""en"",""hr"")"),"režanj")</f>
        <v>režanj</v>
      </c>
    </row>
    <row r="1198" spans="1:2" x14ac:dyDescent="0.2">
      <c r="A1198" s="21">
        <v>7076543</v>
      </c>
      <c r="B1198" s="18" t="str">
        <f ca="1">IFERROR(__xludf.DUMMYFUNCTION("GOOGLETRANSLATE(C1171,""en"",""hr"")"),"Držač")</f>
        <v>Držač</v>
      </c>
    </row>
    <row r="1199" spans="1:2" x14ac:dyDescent="0.2">
      <c r="A1199" s="21">
        <v>7076544</v>
      </c>
      <c r="B1199" s="18" t="str">
        <f ca="1">IFERROR(__xludf.DUMMYFUNCTION("GOOGLETRANSLATE(C6826,""en"",""hr"")"),"Protudjelo")</f>
        <v>Protudjelo</v>
      </c>
    </row>
    <row r="1200" spans="1:2" x14ac:dyDescent="0.2">
      <c r="A1200" s="21">
        <v>7076546</v>
      </c>
      <c r="B1200" s="18" t="str">
        <f ca="1">IFERROR(__xludf.DUMMYFUNCTION("GOOGLETRANSLATE(C6822,""en"",""hr"")"),"Držač")</f>
        <v>Držač</v>
      </c>
    </row>
    <row r="1201" spans="1:2" x14ac:dyDescent="0.2">
      <c r="A1201" s="21">
        <v>7076551</v>
      </c>
      <c r="B1201" s="18" t="str">
        <f ca="1">IFERROR(__xludf.DUMMYFUNCTION("GOOGLETRANSLATE(C4943,""en"",""hr"")"),"Guma")</f>
        <v>Guma</v>
      </c>
    </row>
    <row r="1202" spans="1:2" x14ac:dyDescent="0.2">
      <c r="A1202" s="21">
        <v>7076594</v>
      </c>
      <c r="B1202" s="18" t="str">
        <f ca="1">IFERROR(__xludf.DUMMYFUNCTION("GOOGLETRANSLATE(C4942,""en"",""hr"")"),"Držač")</f>
        <v>Držač</v>
      </c>
    </row>
    <row r="1203" spans="1:2" x14ac:dyDescent="0.2">
      <c r="A1203" s="21">
        <v>7076595</v>
      </c>
      <c r="B1203" s="18" t="str">
        <f ca="1">IFERROR(__xludf.DUMMYFUNCTION("GOOGLETRANSLATE(C3495,""en"",""hr"")"),"Ploča, guma")</f>
        <v>Ploča, guma</v>
      </c>
    </row>
    <row r="1204" spans="1:2" x14ac:dyDescent="0.2">
      <c r="A1204" s="21">
        <v>7076596</v>
      </c>
      <c r="B1204" s="18" t="str">
        <f ca="1">IFERROR(__xludf.DUMMYFUNCTION("GOOGLETRANSLATE(C3496,""en"",""hr"")"),"Gumeni nosač")</f>
        <v>Gumeni nosač</v>
      </c>
    </row>
    <row r="1205" spans="1:2" x14ac:dyDescent="0.2">
      <c r="A1205" s="21">
        <v>7076597</v>
      </c>
      <c r="B1205" s="18" t="str">
        <f ca="1">IFERROR(__xludf.DUMMYFUNCTION("GOOGLETRANSLATE(C3493,""en"",""hr"")"),"Gumeni nosač")</f>
        <v>Gumeni nosač</v>
      </c>
    </row>
    <row r="1206" spans="1:2" x14ac:dyDescent="0.2">
      <c r="A1206" s="21">
        <v>7076598</v>
      </c>
      <c r="B1206" s="18" t="str">
        <f ca="1">IFERROR(__xludf.DUMMYFUNCTION("GOOGLETRANSLATE(C3494,""en"",""hr"")"),"Gumeni nosač")</f>
        <v>Gumeni nosač</v>
      </c>
    </row>
    <row r="1207" spans="1:2" x14ac:dyDescent="0.2">
      <c r="A1207" s="21">
        <v>7076618</v>
      </c>
      <c r="B1207" s="18" t="str">
        <f ca="1">IFERROR(__xludf.DUMMYFUNCTION("GOOGLETRANSLATE(C5740,""en"",""hr"")"),"Ploča, guma")</f>
        <v>Ploča, guma</v>
      </c>
    </row>
    <row r="1208" spans="1:2" x14ac:dyDescent="0.2">
      <c r="A1208" s="21">
        <v>7076619</v>
      </c>
      <c r="B1208" s="18" t="str">
        <f ca="1">IFERROR(__xludf.DUMMYFUNCTION("GOOGLETRANSLATE(C5741,""en"",""hr"")"),"Ploča, guma")</f>
        <v>Ploča, guma</v>
      </c>
    </row>
    <row r="1209" spans="1:2" x14ac:dyDescent="0.2">
      <c r="A1209" s="21">
        <v>7076620</v>
      </c>
      <c r="B1209" s="18" t="str">
        <f ca="1">IFERROR(__xludf.DUMMYFUNCTION("GOOGLETRANSLATE(C5742,""en"",""hr"")"),"Ploča, guma")</f>
        <v>Ploča, guma</v>
      </c>
    </row>
    <row r="1210" spans="1:2" x14ac:dyDescent="0.2">
      <c r="A1210" s="21">
        <v>7076621</v>
      </c>
      <c r="B1210" s="18" t="str">
        <f ca="1">IFERROR(__xludf.DUMMYFUNCTION("GOOGLETRANSLATE(C5746,""en"",""hr"")"),"Ploča, guma")</f>
        <v>Ploča, guma</v>
      </c>
    </row>
    <row r="1211" spans="1:2" x14ac:dyDescent="0.2">
      <c r="A1211" s="21">
        <v>7076625</v>
      </c>
      <c r="B1211" s="18" t="str">
        <f ca="1">IFERROR(__xludf.DUMMYFUNCTION("GOOGLETRANSLATE(C5218,""en"",""hr"")"),"Razmakni grm")</f>
        <v>Razmakni grm</v>
      </c>
    </row>
    <row r="1212" spans="1:2" x14ac:dyDescent="0.2">
      <c r="A1212" s="21">
        <v>7076644</v>
      </c>
      <c r="B1212" s="18" t="str">
        <f ca="1">IFERROR(__xludf.DUMMYFUNCTION("GOOGLETRANSLATE(C4944,""en"",""hr"")"),"Perilica")</f>
        <v>Perilica</v>
      </c>
    </row>
    <row r="1213" spans="1:2" x14ac:dyDescent="0.2">
      <c r="A1213" s="21">
        <v>7076645</v>
      </c>
      <c r="B1213" s="18" t="str">
        <f ca="1">IFERROR(__xludf.DUMMYFUNCTION("GOOGLETRANSLATE(C4946,""en"",""hr"")"),"Mehanizam za preklapanje")</f>
        <v>Mehanizam za preklapanje</v>
      </c>
    </row>
    <row r="1214" spans="1:2" x14ac:dyDescent="0.2">
      <c r="A1214" s="21">
        <v>7076656</v>
      </c>
      <c r="B1214" s="18" t="str">
        <f ca="1">IFERROR(__xludf.DUMMYFUNCTION("GOOGLETRANSLATE(C2394,""en"",""hr"")"),"Čuvar Assy")</f>
        <v>Čuvar Assy</v>
      </c>
    </row>
    <row r="1215" spans="1:2" x14ac:dyDescent="0.2">
      <c r="A1215" s="21">
        <v>7076680</v>
      </c>
      <c r="B1215" s="18" t="str">
        <f ca="1">IFERROR(__xludf.DUMMYFUNCTION("GOOGLETRANSLATE(C3861,""en"",""hr"")"),"Držač koplja kpl.")</f>
        <v>Držač koplja kpl.</v>
      </c>
    </row>
    <row r="1216" spans="1:2" x14ac:dyDescent="0.2">
      <c r="A1216" s="21">
        <v>7076727</v>
      </c>
      <c r="B1216" s="18" t="str">
        <f ca="1">IFERROR(__xludf.DUMMYFUNCTION("GOOGLETRANSLATE(C6636,""en"",""hr"")"),"Držač LH")</f>
        <v>Držač LH</v>
      </c>
    </row>
    <row r="1217" spans="1:2" x14ac:dyDescent="0.2">
      <c r="A1217" s="21">
        <v>7076815</v>
      </c>
      <c r="B1217" s="18" t="str">
        <f ca="1">IFERROR(__xludf.DUMMYFUNCTION("GOOGLETRANSLATE(C4684,""en"",""hr"")"),"Držač")</f>
        <v>Držač</v>
      </c>
    </row>
    <row r="1218" spans="1:2" x14ac:dyDescent="0.2">
      <c r="A1218" s="21">
        <v>7076824</v>
      </c>
      <c r="B1218" s="18" t="str">
        <f ca="1">IFERROR(__xludf.DUMMYFUNCTION("GOOGLETRANSLATE(C3678,""en"",""hr"")"),"Držač za vodenu pumpu")</f>
        <v>Držač za vodenu pumpu</v>
      </c>
    </row>
    <row r="1219" spans="1:2" x14ac:dyDescent="0.2">
      <c r="A1219" s="21">
        <v>7076825</v>
      </c>
      <c r="B1219" s="18" t="str">
        <f ca="1">IFERROR(__xludf.DUMMYFUNCTION("GOOGLETRANSLATE(C3680,""en"",""hr"")"),"Držač za filter za vodu")</f>
        <v>Držač za filter za vodu</v>
      </c>
    </row>
    <row r="1220" spans="1:2" x14ac:dyDescent="0.2">
      <c r="A1220" s="21">
        <v>7076898</v>
      </c>
      <c r="B1220" s="18" t="str">
        <f ca="1">IFERROR(__xludf.DUMMYFUNCTION("GOOGLETRANSLATE(C1557,""en"",""hr"")"),"Ploča za pričvršćivanje")</f>
        <v>Ploča za pričvršćivanje</v>
      </c>
    </row>
    <row r="1221" spans="1:2" x14ac:dyDescent="0.2">
      <c r="A1221" s="21">
        <v>7076977</v>
      </c>
      <c r="B1221" s="18" t="str">
        <f ca="1">IFERROR(__xludf.DUMMYFUNCTION("GOOGLETRANSLATE(C1031,""en"",""hr"")"),"Crijevo za punjenje zraka motora hladnjaka")</f>
        <v>Crijevo za punjenje zraka motora hladnjaka</v>
      </c>
    </row>
    <row r="1222" spans="1:2" x14ac:dyDescent="0.2">
      <c r="A1222" s="21">
        <v>7076988</v>
      </c>
      <c r="B1222" s="18" t="str">
        <f ca="1">IFERROR(__xludf.DUMMYFUNCTION("GOOGLETRANSLATE(C1868,""en"",""hr"")"),"Oblikovano crijevo")</f>
        <v>Oblikovano crijevo</v>
      </c>
    </row>
    <row r="1223" spans="1:2" x14ac:dyDescent="0.2">
      <c r="A1223" s="21">
        <v>7077021</v>
      </c>
      <c r="B1223" s="18" t="str">
        <f ca="1">IFERROR(__xludf.DUMMYFUNCTION("GOOGLETRANSLATE(C1551,""en"",""hr"")"),"Ploča za pričvršćivanje")</f>
        <v>Ploča za pričvršćivanje</v>
      </c>
    </row>
    <row r="1224" spans="1:2" x14ac:dyDescent="0.2">
      <c r="A1224" s="21">
        <v>7077045</v>
      </c>
      <c r="B1224" s="18" t="str">
        <f ca="1">IFERROR(__xludf.DUMMYFUNCTION("GOOGLETRANSLATE(C6042,""en"",""hr"")"),"Cijev")</f>
        <v>Cijev</v>
      </c>
    </row>
    <row r="1225" spans="1:2" x14ac:dyDescent="0.2">
      <c r="A1225" s="21">
        <v>7077174</v>
      </c>
      <c r="B1225" s="18" t="str">
        <f ca="1">IFERROR(__xludf.DUMMYFUNCTION("GOOGLETRANSLATE(C5774,""en"",""hr"")"),"Prekidač razine")</f>
        <v>Prekidač razine</v>
      </c>
    </row>
    <row r="1226" spans="1:2" x14ac:dyDescent="0.2">
      <c r="A1226" s="21">
        <v>7077219</v>
      </c>
      <c r="B1226" s="18" t="str">
        <f ca="1">IFERROR(__xludf.DUMMYFUNCTION("GOOGLETRANSLATE(C1555,""en"",""hr"")"),"Ploča za pričvršćivanje")</f>
        <v>Ploča za pričvršćivanje</v>
      </c>
    </row>
    <row r="1227" spans="1:2" x14ac:dyDescent="0.2">
      <c r="A1227" s="21">
        <v>7077283</v>
      </c>
      <c r="B1227" s="18" t="str">
        <f ca="1">IFERROR(__xludf.DUMMYFUNCTION("GOOGLETRANSLATE(C5040,""en"",""hr"")"),"Ploča")</f>
        <v>Ploča</v>
      </c>
    </row>
    <row r="1228" spans="1:2" x14ac:dyDescent="0.2">
      <c r="A1228" s="21">
        <v>7077287</v>
      </c>
      <c r="B1228" s="18" t="str">
        <f ca="1">IFERROR(__xludf.DUMMYFUNCTION("GOOGLETRANSLATE(C5039,""en"",""hr"")"),"podrška")</f>
        <v>podrška</v>
      </c>
    </row>
    <row r="1229" spans="1:2" x14ac:dyDescent="0.2">
      <c r="A1229" s="21">
        <v>7077328</v>
      </c>
      <c r="B1229" s="18" t="str">
        <f ca="1">IFERROR(__xludf.DUMMYFUNCTION("GOOGLETRANSLATE(C5889,""en"",""hr"")"),"Kontrolni blok")</f>
        <v>Kontrolni blok</v>
      </c>
    </row>
    <row r="1230" spans="1:2" x14ac:dyDescent="0.2">
      <c r="A1230" s="21">
        <v>7077329</v>
      </c>
      <c r="B1230" s="18" t="str">
        <f ca="1">IFERROR(__xludf.DUMMYFUNCTION("GOOGLETRANSLATE(C5890,""en"",""hr"")"),"Kontrolni blok")</f>
        <v>Kontrolni blok</v>
      </c>
    </row>
    <row r="1231" spans="1:2" x14ac:dyDescent="0.2">
      <c r="A1231" s="21">
        <v>7077337</v>
      </c>
      <c r="B1231" s="18" t="str">
        <f ca="1">IFERROR(__xludf.DUMMYFUNCTION("GOOGLETRANSLATE(C323,""en"",""hr"")"),"Pločasta baterija za zaključavanje 12V")</f>
        <v>Pločasta baterija za zaključavanje 12V</v>
      </c>
    </row>
    <row r="1232" spans="1:2" x14ac:dyDescent="0.2">
      <c r="A1232" s="21">
        <v>7077353</v>
      </c>
      <c r="B1232" s="18" t="str">
        <f ca="1">IFERROR(__xludf.DUMMYFUNCTION("GOOGLETRANSLATE(C6470,""en"",""hr"")"),"Ploča za pričvršćivanje")</f>
        <v>Ploča za pričvršćivanje</v>
      </c>
    </row>
    <row r="1233" spans="1:2" x14ac:dyDescent="0.2">
      <c r="A1233" s="21">
        <v>7077360</v>
      </c>
      <c r="B1233" s="18" t="str">
        <f ca="1">IFERROR(__xludf.DUMMYFUNCTION("GOOGLETRANSLATE(C5011,""en"",""hr"")"),"Profil")</f>
        <v>Profil</v>
      </c>
    </row>
    <row r="1234" spans="1:2" x14ac:dyDescent="0.2">
      <c r="A1234" s="21">
        <v>7077378</v>
      </c>
      <c r="B1234" s="18" t="str">
        <f ca="1">IFERROR(__xludf.DUMMYFUNCTION("GOOGLETRANSLATE(C4195,""en"",""hr"")"),"Držač")</f>
        <v>Držač</v>
      </c>
    </row>
    <row r="1235" spans="1:2" x14ac:dyDescent="0.2">
      <c r="A1235" s="21">
        <v>7077410</v>
      </c>
      <c r="B1235" s="18" t="str">
        <f ca="1">IFERROR(__xludf.DUMMYFUNCTION("GOOGLETRANSLATE(C4750,""en"",""hr"")"),"Preklop lijevo bijeli")</f>
        <v>Preklop lijevo bijeli</v>
      </c>
    </row>
    <row r="1236" spans="1:2" x14ac:dyDescent="0.2">
      <c r="A1236" s="21">
        <v>7077422</v>
      </c>
      <c r="B1236" s="18" t="str">
        <f ca="1">IFERROR(__xludf.DUMMYFUNCTION("GOOGLETRANSLATE(C4749,""en"",""hr"")"),"Poklopac desni, bijeli")</f>
        <v>Poklopac desni, bijeli</v>
      </c>
    </row>
    <row r="1237" spans="1:2" x14ac:dyDescent="0.2">
      <c r="A1237" s="21">
        <v>7077527</v>
      </c>
      <c r="B1237" s="18" t="str">
        <f ca="1">IFERROR(__xludf.DUMMYFUNCTION("GOOGLETRANSLATE(C6770,""en"",""hr"")"),"Ljepljiva ploča")</f>
        <v>Ljepljiva ploča</v>
      </c>
    </row>
    <row r="1238" spans="1:2" x14ac:dyDescent="0.2">
      <c r="A1238" s="21">
        <v>7077546</v>
      </c>
      <c r="B1238" s="18" t="str">
        <f ca="1">IFERROR(__xludf.DUMMYFUNCTION("GOOGLETRANSLATE(C414,""en"",""hr"")"),"Poklopac stezaljke")</f>
        <v>Poklopac stezaljke</v>
      </c>
    </row>
    <row r="1239" spans="1:2" x14ac:dyDescent="0.2">
      <c r="A1239" s="21">
        <v>7077547</v>
      </c>
      <c r="B1239" s="18" t="str">
        <f ca="1">IFERROR(__xludf.DUMMYFUNCTION("GOOGLETRANSLATE(C4826,""en"",""hr"")"),"Poklopac, bijeli")</f>
        <v>Poklopac, bijeli</v>
      </c>
    </row>
    <row r="1240" spans="1:2" x14ac:dyDescent="0.2">
      <c r="A1240" s="21">
        <v>7077553</v>
      </c>
      <c r="B1240" s="18" t="str">
        <f ca="1">IFERROR(__xludf.DUMMYFUNCTION("GOOGLETRANSLATE(C4823,""en"",""hr"")"),"Poklopac, bijeli")</f>
        <v>Poklopac, bijeli</v>
      </c>
    </row>
    <row r="1241" spans="1:2" x14ac:dyDescent="0.2">
      <c r="A1241" s="21">
        <v>7077554</v>
      </c>
      <c r="B1241" s="18" t="str">
        <f ca="1">IFERROR(__xludf.DUMMYFUNCTION("GOOGLETRANSLATE(C5855,""en"",""hr"")"),"Cijev")</f>
        <v>Cijev</v>
      </c>
    </row>
    <row r="1242" spans="1:2" x14ac:dyDescent="0.2">
      <c r="A1242" s="21">
        <v>7077559</v>
      </c>
      <c r="B1242" s="18" t="str">
        <f ca="1">IFERROR(__xludf.DUMMYFUNCTION("GOOGLETRANSLATE(C5853,""en"",""hr"")"),"Usisni filter")</f>
        <v>Usisni filter</v>
      </c>
    </row>
    <row r="1243" spans="1:2" x14ac:dyDescent="0.2">
      <c r="A1243" s="21">
        <v>7077564</v>
      </c>
      <c r="B1243" s="18" t="str">
        <f ca="1">IFERROR(__xludf.DUMMYFUNCTION("GOOGLETRANSLATE(C4874,""en"",""hr"")"),"Poklopac, bijeli")</f>
        <v>Poklopac, bijeli</v>
      </c>
    </row>
    <row r="1244" spans="1:2" x14ac:dyDescent="0.2">
      <c r="A1244" s="21">
        <v>7077569</v>
      </c>
      <c r="B1244" s="18" t="str">
        <f ca="1">IFERROR(__xludf.DUMMYFUNCTION("GOOGLETRANSLATE(C4872,""en"",""hr"")"),"Zaštita, bijela")</f>
        <v>Zaštita, bijela</v>
      </c>
    </row>
    <row r="1245" spans="1:2" x14ac:dyDescent="0.2">
      <c r="A1245" s="21">
        <v>7077570</v>
      </c>
      <c r="B1245" s="18" t="str">
        <f ca="1">IFERROR(__xludf.DUMMYFUNCTION("GOOGLETRANSLATE(C5808,""en"",""hr"")"),"Usisni filter")</f>
        <v>Usisni filter</v>
      </c>
    </row>
    <row r="1246" spans="1:2" x14ac:dyDescent="0.2">
      <c r="A1246" s="21">
        <v>7077617</v>
      </c>
      <c r="B1246" s="18" t="str">
        <f ca="1">IFERROR(__xludf.DUMMYFUNCTION("GOOGLETRANSLATE(C6236,""en"",""hr"")"),"Crijevo")</f>
        <v>Crijevo</v>
      </c>
    </row>
    <row r="1247" spans="1:2" x14ac:dyDescent="0.2">
      <c r="A1247" s="21">
        <v>7077656</v>
      </c>
      <c r="B1247" s="18" t="str">
        <f ca="1">IFERROR(__xludf.DUMMYFUNCTION("GOOGLETRANSLATE(C4873,""en"",""hr"")"),"Poklopac, bijeli")</f>
        <v>Poklopac, bijeli</v>
      </c>
    </row>
    <row r="1248" spans="1:2" x14ac:dyDescent="0.2">
      <c r="A1248" s="21">
        <v>7077701</v>
      </c>
      <c r="B1248" s="18" t="str">
        <f ca="1">IFERROR(__xludf.DUMMYFUNCTION("GOOGLETRANSLATE(C4439,""en"",""hr"")"),"Držač")</f>
        <v>Držač</v>
      </c>
    </row>
    <row r="1249" spans="1:2" x14ac:dyDescent="0.2">
      <c r="A1249" s="21">
        <v>7077730</v>
      </c>
      <c r="B1249" s="18" t="str">
        <f ca="1">IFERROR(__xludf.DUMMYFUNCTION("GOOGLETRANSLATE(C4804,""en"",""hr"")"),"Poklopac, bijeli")</f>
        <v>Poklopac, bijeli</v>
      </c>
    </row>
    <row r="1250" spans="1:2" x14ac:dyDescent="0.2">
      <c r="A1250" s="21">
        <v>7077732</v>
      </c>
      <c r="B1250" s="18" t="str">
        <f ca="1">IFERROR(__xludf.DUMMYFUNCTION("GOOGLETRANSLATE(C4795,""en"",""hr"")"),"Prednji poklopac bijeli")</f>
        <v>Prednji poklopac bijeli</v>
      </c>
    </row>
    <row r="1251" spans="1:2" x14ac:dyDescent="0.2">
      <c r="A1251" s="21">
        <v>7077736</v>
      </c>
      <c r="B1251" s="18" t="str">
        <f ca="1">IFERROR(__xludf.DUMMYFUNCTION("GOOGLETRANSLATE(C4805,""en"",""hr"")"),"Poklopac, bijeli")</f>
        <v>Poklopac, bijeli</v>
      </c>
    </row>
    <row r="1252" spans="1:2" x14ac:dyDescent="0.2">
      <c r="A1252" s="21">
        <v>7077761</v>
      </c>
      <c r="B1252" s="18" t="str">
        <f ca="1">IFERROR(__xludf.DUMMYFUNCTION("GOOGLETRANSLATE(C4440,""en"",""hr"")"),"Držač lijevi")</f>
        <v>Držač lijevi</v>
      </c>
    </row>
    <row r="1253" spans="1:2" x14ac:dyDescent="0.2">
      <c r="A1253" s="21">
        <v>7077762</v>
      </c>
      <c r="B1253" s="18" t="str">
        <f ca="1">IFERROR(__xludf.DUMMYFUNCTION("GOOGLETRANSLATE(C4434,""en"",""hr"")"),"Držač desni")</f>
        <v>Držač desni</v>
      </c>
    </row>
    <row r="1254" spans="1:2" x14ac:dyDescent="0.2">
      <c r="A1254" s="21">
        <v>7077962</v>
      </c>
      <c r="B1254" s="18" t="str">
        <f ca="1">IFERROR(__xludf.DUMMYFUNCTION("GOOGLETRANSLATE(C316,""en"",""hr"")"),"Držač")</f>
        <v>Držač</v>
      </c>
    </row>
    <row r="1255" spans="1:2" x14ac:dyDescent="0.2">
      <c r="A1255" s="21">
        <v>7078246</v>
      </c>
      <c r="B1255" s="18" t="str">
        <f ca="1">IFERROR(__xludf.DUMMYFUNCTION("GOOGLETRANSLATE(C3389,""en"",""hr"")"),"Okvir")</f>
        <v>Okvir</v>
      </c>
    </row>
    <row r="1256" spans="1:2" x14ac:dyDescent="0.2">
      <c r="A1256" s="21">
        <v>7078255</v>
      </c>
      <c r="B1256" s="18" t="str">
        <f ca="1">IFERROR(__xludf.DUMMYFUNCTION("GOOGLETRANSLATE(C3390,""en"",""hr"")"),"Držač")</f>
        <v>Držač</v>
      </c>
    </row>
    <row r="1257" spans="1:2" x14ac:dyDescent="0.2">
      <c r="A1257" s="21">
        <v>7078289</v>
      </c>
      <c r="B1257" s="18" t="str">
        <f ca="1">IFERROR(__xludf.DUMMYFUNCTION("GOOGLETRANSLATE(C6264,""en"",""hr"")"),"Kabelski svežanj (+CA-F)")</f>
        <v>Kabelski svežanj (+CA-F)</v>
      </c>
    </row>
    <row r="1258" spans="1:2" x14ac:dyDescent="0.2">
      <c r="A1258" s="21">
        <v>7078313</v>
      </c>
      <c r="B1258" s="18" t="str">
        <f ca="1">IFERROR(__xludf.DUMMYFUNCTION("GOOGLETRANSLATE(C3388,""en"",""hr"")"),"Držač")</f>
        <v>Držač</v>
      </c>
    </row>
    <row r="1259" spans="1:2" x14ac:dyDescent="0.2">
      <c r="A1259" s="21">
        <v>7078346</v>
      </c>
      <c r="B1259" s="18" t="str">
        <f ca="1">IFERROR(__xludf.DUMMYFUNCTION("GOOGLETRANSLATE(C3391,""en"",""hr"")"),"Čahura")</f>
        <v>Čahura</v>
      </c>
    </row>
    <row r="1260" spans="1:2" x14ac:dyDescent="0.2">
      <c r="A1260" s="21">
        <v>7078363</v>
      </c>
      <c r="B1260" s="18" t="str">
        <f ca="1">IFERROR(__xludf.DUMMYFUNCTION("GOOGLETRANSLATE(C4703,""en"",""hr"")"),"Ploča za pakiranje")</f>
        <v>Ploča za pakiranje</v>
      </c>
    </row>
    <row r="1261" spans="1:2" x14ac:dyDescent="0.2">
      <c r="A1261" s="21">
        <v>7078397</v>
      </c>
      <c r="B1261" s="18" t="str">
        <f ca="1">IFERROR(__xludf.DUMMYFUNCTION("GOOGLETRANSLATE(C415,""en"",""hr"")"),"Srednji grm")</f>
        <v>Srednji grm</v>
      </c>
    </row>
    <row r="1262" spans="1:2" x14ac:dyDescent="0.2">
      <c r="A1262" s="21">
        <v>7078447</v>
      </c>
      <c r="B1262" s="18" t="str">
        <f ca="1">IFERROR(__xludf.DUMMYFUNCTION("GOOGLETRANSLATE(C4702,""en"",""hr"")"),"Pokrivač, bijeli")</f>
        <v>Pokrivač, bijeli</v>
      </c>
    </row>
    <row r="1263" spans="1:2" x14ac:dyDescent="0.2">
      <c r="A1263" s="21">
        <v>7078450</v>
      </c>
      <c r="B1263" s="18" t="str">
        <f ca="1">IFERROR(__xludf.DUMMYFUNCTION("GOOGLETRANSLATE(C4700,""en"",""hr"")"),"Pokrivač, bijeli")</f>
        <v>Pokrivač, bijeli</v>
      </c>
    </row>
    <row r="1264" spans="1:2" x14ac:dyDescent="0.2">
      <c r="A1264" s="21">
        <v>7078452</v>
      </c>
      <c r="B1264" s="18" t="str">
        <f ca="1">IFERROR(__xludf.DUMMYFUNCTION("GOOGLETRANSLATE(C4695,""en"",""hr"")"),"Bijela stražnja oplata")</f>
        <v>Bijela stražnja oplata</v>
      </c>
    </row>
    <row r="1265" spans="1:2" x14ac:dyDescent="0.2">
      <c r="A1265" s="21">
        <v>7078476</v>
      </c>
      <c r="B1265" s="18" t="str">
        <f ca="1">IFERROR(__xludf.DUMMYFUNCTION("GOOGLETRANSLATE(C4197,""en"",""hr"")"),"Držač koplja kpl.")</f>
        <v>Držač koplja kpl.</v>
      </c>
    </row>
    <row r="1266" spans="1:2" x14ac:dyDescent="0.2">
      <c r="A1266" s="21">
        <v>7078494</v>
      </c>
      <c r="B1266" s="18" t="str">
        <f ca="1">IFERROR(__xludf.DUMMYFUNCTION("GOOGLETRANSLATE(C4871,""en"",""hr"")"),"Zaštita, bijela")</f>
        <v>Zaštita, bijela</v>
      </c>
    </row>
    <row r="1267" spans="1:2" x14ac:dyDescent="0.2">
      <c r="A1267" s="21">
        <v>7078518</v>
      </c>
      <c r="B1267" s="18" t="str">
        <f ca="1">IFERROR(__xludf.DUMMYFUNCTION("GOOGLETRANSLATE(C4692,""en"",""hr"")"),"Zaštita")</f>
        <v>Zaštita</v>
      </c>
    </row>
    <row r="1268" spans="1:2" x14ac:dyDescent="0.2">
      <c r="A1268" s="21">
        <v>7078520</v>
      </c>
      <c r="B1268" s="18" t="str">
        <f ca="1">IFERROR(__xludf.DUMMYFUNCTION("GOOGLETRANSLATE(C4690,""en"",""hr"")"),"Zaštita")</f>
        <v>Zaštita</v>
      </c>
    </row>
    <row r="1269" spans="1:2" x14ac:dyDescent="0.2">
      <c r="A1269" s="21">
        <v>7078537</v>
      </c>
      <c r="B1269" s="18" t="str">
        <f ca="1">IFERROR(__xludf.DUMMYFUNCTION("GOOGLETRANSLATE(C5485,""en"",""hr"")"),"Okvir")</f>
        <v>Okvir</v>
      </c>
    </row>
    <row r="1270" spans="1:2" x14ac:dyDescent="0.2">
      <c r="A1270" s="21">
        <v>7078546</v>
      </c>
      <c r="B1270" s="18" t="str">
        <f ca="1">IFERROR(__xludf.DUMMYFUNCTION("GOOGLETRANSLATE(C4806,""en"",""hr"")"),"Držač")</f>
        <v>Držač</v>
      </c>
    </row>
    <row r="1271" spans="1:2" x14ac:dyDescent="0.2">
      <c r="A1271" s="21">
        <v>7078547</v>
      </c>
      <c r="B1271" s="18" t="str">
        <f ca="1">IFERROR(__xludf.DUMMYFUNCTION("GOOGLETRANSLATE(C4803,""en"",""hr"")"),"Držač")</f>
        <v>Držač</v>
      </c>
    </row>
    <row r="1272" spans="1:2" x14ac:dyDescent="0.2">
      <c r="A1272" s="21">
        <v>7078552</v>
      </c>
      <c r="B1272" s="18" t="str">
        <f ca="1">IFERROR(__xludf.DUMMYFUNCTION("GOOGLETRANSLATE(C4807,""en"",""hr"")"),"Držač")</f>
        <v>Držač</v>
      </c>
    </row>
    <row r="1273" spans="1:2" x14ac:dyDescent="0.2">
      <c r="A1273" s="21">
        <v>7078553</v>
      </c>
      <c r="B1273" s="18" t="str">
        <f ca="1">IFERROR(__xludf.DUMMYFUNCTION("GOOGLETRANSLATE(C4808,""en"",""hr"")"),"Držač")</f>
        <v>Držač</v>
      </c>
    </row>
    <row r="1274" spans="1:2" x14ac:dyDescent="0.2">
      <c r="A1274" s="21">
        <v>7078556</v>
      </c>
      <c r="B1274" s="18" t="str">
        <f ca="1">IFERROR(__xludf.DUMMYFUNCTION("GOOGLETRANSLATE(C355,""en"",""hr"")"),"Kotači 215/75 R16, 4x4, HA, Oniks")</f>
        <v>Kotači 215/75 R16, 4x4, HA, Oniks</v>
      </c>
    </row>
    <row r="1275" spans="1:2" x14ac:dyDescent="0.2">
      <c r="A1275" s="21">
        <v>7078557</v>
      </c>
      <c r="B1275" s="18" t="str">
        <f ca="1">IFERROR(__xludf.DUMMYFUNCTION("GOOGLETRANSLATE(C353,""en"",""hr"")"),"Kotač 215/75 R16, 4x4, VA, oniks")</f>
        <v>Kotač 215/75 R16, 4x4, VA, oniks</v>
      </c>
    </row>
    <row r="1276" spans="1:2" x14ac:dyDescent="0.2">
      <c r="A1276" s="21">
        <v>7078714</v>
      </c>
      <c r="B1276" s="18" t="str">
        <f ca="1">IFERROR(__xludf.DUMMYFUNCTION("GOOGLETRANSLATE(C4435,""en"",""hr"")"),"Klizač")</f>
        <v>Klizač</v>
      </c>
    </row>
    <row r="1277" spans="1:2" x14ac:dyDescent="0.2">
      <c r="A1277" s="21">
        <v>7079169</v>
      </c>
      <c r="B1277" s="18" t="str">
        <f ca="1">IFERROR(__xludf.DUMMYFUNCTION("GOOGLETRANSLATE(C2062,""en"",""hr"")"),"Cijev, obložena")</f>
        <v>Cijev, obložena</v>
      </c>
    </row>
    <row r="1278" spans="1:2" x14ac:dyDescent="0.2">
      <c r="A1278" s="21">
        <v>7079172</v>
      </c>
      <c r="B1278" s="18" t="str">
        <f ca="1">IFERROR(__xludf.DUMMYFUNCTION("GOOGLETRANSLATE(C2147,""en"",""hr"")"),"Cijev, obložena")</f>
        <v>Cijev, obložena</v>
      </c>
    </row>
    <row r="1279" spans="1:2" x14ac:dyDescent="0.2">
      <c r="A1279" s="21">
        <v>7079177</v>
      </c>
      <c r="B1279" s="18" t="str">
        <f ca="1">IFERROR(__xludf.DUMMYFUNCTION("GOOGLETRANSLATE(C2150,""en"",""hr"")"),"Cijev, obložena")</f>
        <v>Cijev, obložena</v>
      </c>
    </row>
    <row r="1280" spans="1:2" x14ac:dyDescent="0.2">
      <c r="A1280" s="21">
        <v>7079180</v>
      </c>
      <c r="B1280" s="18" t="str">
        <f ca="1">IFERROR(__xludf.DUMMYFUNCTION("GOOGLETRANSLATE(C2180,""en"",""hr"")"),"Cijev, obložena")</f>
        <v>Cijev, obložena</v>
      </c>
    </row>
    <row r="1281" spans="1:2" x14ac:dyDescent="0.2">
      <c r="A1281" s="21">
        <v>7079182</v>
      </c>
      <c r="B1281" s="18" t="str">
        <f ca="1">IFERROR(__xludf.DUMMYFUNCTION("GOOGLETRANSLATE(C2181,""en"",""hr"")"),"Cijev, obložena")</f>
        <v>Cijev, obložena</v>
      </c>
    </row>
    <row r="1282" spans="1:2" x14ac:dyDescent="0.2">
      <c r="A1282" s="21">
        <v>7079185</v>
      </c>
      <c r="B1282" s="18" t="str">
        <f ca="1">IFERROR(__xludf.DUMMYFUNCTION("GOOGLETRANSLATE(C3630,""en"",""hr"")"),"Cijev, obložena")</f>
        <v>Cijev, obložena</v>
      </c>
    </row>
    <row r="1283" spans="1:2" x14ac:dyDescent="0.2">
      <c r="A1283" s="21">
        <v>7079187</v>
      </c>
      <c r="B1283" s="18" t="str">
        <f ca="1">IFERROR(__xludf.DUMMYFUNCTION("GOOGLETRANSLATE(C5604,""en"",""hr"")"),"Potporni blok")</f>
        <v>Potporni blok</v>
      </c>
    </row>
    <row r="1284" spans="1:2" x14ac:dyDescent="0.2">
      <c r="A1284" s="21">
        <v>7079194</v>
      </c>
      <c r="B1284" s="18" t="str">
        <f ca="1">IFERROR(__xludf.DUMMYFUNCTION("GOOGLETRANSLATE(C1175,""en"",""hr"")"),"Držač")</f>
        <v>Držač</v>
      </c>
    </row>
    <row r="1285" spans="1:2" x14ac:dyDescent="0.2">
      <c r="A1285" s="21">
        <v>7079213</v>
      </c>
      <c r="B1285" s="18" t="str">
        <f ca="1">IFERROR(__xludf.DUMMYFUNCTION("GOOGLETRANSLATE(C3212,""en"",""hr"")"),"Držač")</f>
        <v>Držač</v>
      </c>
    </row>
    <row r="1286" spans="1:2" x14ac:dyDescent="0.2">
      <c r="A1286" s="21">
        <v>7079216</v>
      </c>
      <c r="B1286" s="18" t="str">
        <f ca="1">IFERROR(__xludf.DUMMYFUNCTION("GOOGLETRANSLATE(C3222,""en"",""hr"")"),"Poklopac")</f>
        <v>Poklopac</v>
      </c>
    </row>
    <row r="1287" spans="1:2" x14ac:dyDescent="0.2">
      <c r="A1287" s="21">
        <v>7079234</v>
      </c>
      <c r="B1287" s="18" t="str">
        <f ca="1">IFERROR(__xludf.DUMMYFUNCTION("GOOGLETRANSLATE(C6205,""en"",""hr"")"),"Cijev, obložena")</f>
        <v>Cijev, obložena</v>
      </c>
    </row>
    <row r="1288" spans="1:2" x14ac:dyDescent="0.2">
      <c r="A1288" s="21">
        <v>7079235</v>
      </c>
      <c r="B1288" s="18" t="str">
        <f ca="1">IFERROR(__xludf.DUMMYFUNCTION("GOOGLETRANSLATE(C4820,""en"",""hr"")"),"Poklopac, bijeli")</f>
        <v>Poklopac, bijeli</v>
      </c>
    </row>
    <row r="1289" spans="1:2" x14ac:dyDescent="0.2">
      <c r="A1289" s="21">
        <v>7079238</v>
      </c>
      <c r="B1289" s="18" t="str">
        <f ca="1">IFERROR(__xludf.DUMMYFUNCTION("GOOGLETRANSLATE(C6207,""en"",""hr"")"),"Cijev, obložena")</f>
        <v>Cijev, obložena</v>
      </c>
    </row>
    <row r="1290" spans="1:2" x14ac:dyDescent="0.2">
      <c r="A1290" s="21">
        <v>7079240</v>
      </c>
      <c r="B1290" s="18" t="str">
        <f ca="1">IFERROR(__xludf.DUMMYFUNCTION("GOOGLETRANSLATE(C3206,""en"",""hr"")"),"Metalni lim")</f>
        <v>Metalni lim</v>
      </c>
    </row>
    <row r="1291" spans="1:2" x14ac:dyDescent="0.2">
      <c r="A1291" s="21">
        <v>7079243</v>
      </c>
      <c r="B1291" s="18" t="str">
        <f ca="1">IFERROR(__xludf.DUMMYFUNCTION("GOOGLETRANSLATE(C6212,""en"",""hr"")"),"Cijev, obložena")</f>
        <v>Cijev, obložena</v>
      </c>
    </row>
    <row r="1292" spans="1:2" x14ac:dyDescent="0.2">
      <c r="A1292" s="21">
        <v>7079245</v>
      </c>
      <c r="B1292" s="18" t="str">
        <f ca="1">IFERROR(__xludf.DUMMYFUNCTION("GOOGLETRANSLATE(C6214,""en"",""hr"")"),"Cijev, obložena")</f>
        <v>Cijev, obložena</v>
      </c>
    </row>
    <row r="1293" spans="1:2" x14ac:dyDescent="0.2">
      <c r="A1293" s="21">
        <v>7079251</v>
      </c>
      <c r="B1293" s="18" t="str">
        <f ca="1">IFERROR(__xludf.DUMMYFUNCTION("GOOGLETRANSLATE(C6216,""en"",""hr"")"),"Cijev, obložena")</f>
        <v>Cijev, obložena</v>
      </c>
    </row>
    <row r="1294" spans="1:2" x14ac:dyDescent="0.2">
      <c r="A1294" s="21">
        <v>7079255</v>
      </c>
      <c r="B1294" s="18" t="str">
        <f ca="1">IFERROR(__xludf.DUMMYFUNCTION("GOOGLETRANSLATE(C6218,""en"",""hr"")"),"Cijev, obložena")</f>
        <v>Cijev, obložena</v>
      </c>
    </row>
    <row r="1295" spans="1:2" x14ac:dyDescent="0.2">
      <c r="A1295" s="21">
        <v>7079257</v>
      </c>
      <c r="B1295" s="18" t="str">
        <f ca="1">IFERROR(__xludf.DUMMYFUNCTION("GOOGLETRANSLATE(C6220,""en"",""hr"")"),"Cijev, obložena")</f>
        <v>Cijev, obložena</v>
      </c>
    </row>
    <row r="1296" spans="1:2" x14ac:dyDescent="0.2">
      <c r="A1296" s="21">
        <v>7079258</v>
      </c>
      <c r="B1296" s="18" t="str">
        <f ca="1">IFERROR(__xludf.DUMMYFUNCTION("GOOGLETRANSLATE(C6232,""en"",""hr"")"),"Cijev, obložena")</f>
        <v>Cijev, obložena</v>
      </c>
    </row>
    <row r="1297" spans="1:2" x14ac:dyDescent="0.2">
      <c r="A1297" s="21">
        <v>7079268</v>
      </c>
      <c r="B1297" s="18" t="str">
        <f ca="1">IFERROR(__xludf.DUMMYFUNCTION("GOOGLETRANSLATE(C6234,""en"",""hr"")"),"Cijev, obložena")</f>
        <v>Cijev, obložena</v>
      </c>
    </row>
    <row r="1298" spans="1:2" x14ac:dyDescent="0.2">
      <c r="A1298" s="21">
        <v>7079271</v>
      </c>
      <c r="B1298" s="18" t="str">
        <f ca="1">IFERROR(__xludf.DUMMYFUNCTION("GOOGLETRANSLATE(C518,""en"",""hr"")"),"Cijev, obložena")</f>
        <v>Cijev, obložena</v>
      </c>
    </row>
    <row r="1299" spans="1:2" x14ac:dyDescent="0.2">
      <c r="A1299" s="21">
        <v>7079272</v>
      </c>
      <c r="B1299" s="18" t="str">
        <f ca="1">IFERROR(__xludf.DUMMYFUNCTION("GOOGLETRANSLATE(C519,""en"",""hr"")"),"Cijev, obložena")</f>
        <v>Cijev, obložena</v>
      </c>
    </row>
    <row r="1300" spans="1:2" x14ac:dyDescent="0.2">
      <c r="A1300" s="21">
        <v>7079273</v>
      </c>
      <c r="B1300" s="18" t="str">
        <f ca="1">IFERROR(__xludf.DUMMYFUNCTION("GOOGLETRANSLATE(C520,""en"",""hr"")"),"Cijev, obložena")</f>
        <v>Cijev, obložena</v>
      </c>
    </row>
    <row r="1301" spans="1:2" x14ac:dyDescent="0.2">
      <c r="A1301" s="21">
        <v>7079364</v>
      </c>
      <c r="B1301" s="18" t="str">
        <f ca="1">IFERROR(__xludf.DUMMYFUNCTION("GOOGLETRANSLATE(C4876,""en"",""hr"")"),"režanj")</f>
        <v>režanj</v>
      </c>
    </row>
    <row r="1302" spans="1:2" x14ac:dyDescent="0.2">
      <c r="A1302" s="21">
        <v>7079375</v>
      </c>
      <c r="B1302" s="18" t="str">
        <f ca="1">IFERROR(__xludf.DUMMYFUNCTION("GOOGLETRANSLATE(C5600,""en"",""hr"")"),"Theraded šipka")</f>
        <v>Theraded šipka</v>
      </c>
    </row>
    <row r="1303" spans="1:2" x14ac:dyDescent="0.2">
      <c r="A1303" s="21">
        <v>7079413</v>
      </c>
      <c r="B1303" s="18" t="str">
        <f ca="1">IFERROR(__xludf.DUMMYFUNCTION("GOOGLETRANSLATE(C3141,""en"",""hr"")"),"Cijev")</f>
        <v>Cijev</v>
      </c>
    </row>
    <row r="1304" spans="1:2" x14ac:dyDescent="0.2">
      <c r="A1304" s="21">
        <v>7079424</v>
      </c>
      <c r="B1304" s="18" t="str">
        <f ca="1">IFERROR(__xludf.DUMMYFUNCTION("GOOGLETRANSLATE(C3131,""en"",""hr"")"),"Uklapanje")</f>
        <v>Uklapanje</v>
      </c>
    </row>
    <row r="1305" spans="1:2" x14ac:dyDescent="0.2">
      <c r="A1305" s="21">
        <v>7079468</v>
      </c>
      <c r="B1305" s="18" t="str">
        <f ca="1">IFERROR(__xludf.DUMMYFUNCTION("GOOGLETRANSLATE(C60,""en"",""hr"")"),"Gumeni zglob")</f>
        <v>Gumeni zglob</v>
      </c>
    </row>
    <row r="1306" spans="1:2" x14ac:dyDescent="0.2">
      <c r="A1306" s="21">
        <v>7079498</v>
      </c>
      <c r="B1306" s="18" t="str">
        <f ca="1">IFERROR(__xludf.DUMMYFUNCTION("GOOGLETRANSLATE(C3211,""en"",""hr"")"),"Plinska opruga 250N")</f>
        <v>Plinska opruga 250N</v>
      </c>
    </row>
    <row r="1307" spans="1:2" x14ac:dyDescent="0.2">
      <c r="A1307" s="21">
        <v>7079523</v>
      </c>
      <c r="B1307" s="18" t="str">
        <f ca="1">IFERROR(__xludf.DUMMYFUNCTION("GOOGLETRANSLATE(C5216,""en"",""hr"")"),"Lim lijevo")</f>
        <v>Lim lijevo</v>
      </c>
    </row>
    <row r="1308" spans="1:2" x14ac:dyDescent="0.2">
      <c r="A1308" s="21">
        <v>7079525</v>
      </c>
      <c r="B1308" s="18" t="str">
        <f ca="1">IFERROR(__xludf.DUMMYFUNCTION("GOOGLETRANSLATE(C5752,""en"",""hr"")"),"Montažna ploča")</f>
        <v>Montažna ploča</v>
      </c>
    </row>
    <row r="1309" spans="1:2" x14ac:dyDescent="0.2">
      <c r="A1309" s="21">
        <v>7079527</v>
      </c>
      <c r="B1309" s="18" t="str">
        <f ca="1">IFERROR(__xludf.DUMMYFUNCTION("GOOGLETRANSLATE(C5815,""en"",""hr"")"),"Montažna ploča")</f>
        <v>Montažna ploča</v>
      </c>
    </row>
    <row r="1310" spans="1:2" x14ac:dyDescent="0.2">
      <c r="A1310" s="21">
        <v>7079566</v>
      </c>
      <c r="B1310" s="18" t="str">
        <f ca="1">IFERROR(__xludf.DUMMYFUNCTION("GOOGLETRANSLATE(C6287,""en"",""hr"")"),"Kabelski svežanj (+B-HO)")</f>
        <v>Kabelski svežanj (+B-HO)</v>
      </c>
    </row>
    <row r="1311" spans="1:2" x14ac:dyDescent="0.2">
      <c r="A1311" s="21">
        <v>7079568</v>
      </c>
      <c r="B1311" s="18" t="str">
        <f ca="1">IFERROR(__xludf.DUMMYFUNCTION("GOOGLETRANSLATE(C6306,""en"",""hr"")"),"Kabelski svežanj (+PP-EV)")</f>
        <v>Kabelski svežanj (+PP-EV)</v>
      </c>
    </row>
    <row r="1312" spans="1:2" x14ac:dyDescent="0.2">
      <c r="A1312" s="21">
        <v>7079610</v>
      </c>
      <c r="B1312" s="18" t="str">
        <f ca="1">IFERROR(__xludf.DUMMYFUNCTION("GOOGLETRANSLATE(C4626,""en"",""hr"")"),"Cijev")</f>
        <v>Cijev</v>
      </c>
    </row>
    <row r="1313" spans="1:2" x14ac:dyDescent="0.2">
      <c r="A1313" s="21">
        <v>7079611</v>
      </c>
      <c r="B1313" s="18" t="str">
        <f ca="1">IFERROR(__xludf.DUMMYFUNCTION("GOOGLETRANSLATE(C4628,""en"",""hr"")"),"Cijev")</f>
        <v>Cijev</v>
      </c>
    </row>
    <row r="1314" spans="1:2" x14ac:dyDescent="0.2">
      <c r="A1314" s="21">
        <v>7079612</v>
      </c>
      <c r="B1314" s="18" t="str">
        <f ca="1">IFERROR(__xludf.DUMMYFUNCTION("GOOGLETRANSLATE(C4633,""en"",""hr"")"),"Crijevo")</f>
        <v>Crijevo</v>
      </c>
    </row>
    <row r="1315" spans="1:2" x14ac:dyDescent="0.2">
      <c r="A1315" s="21">
        <v>7079613</v>
      </c>
      <c r="B1315" s="18" t="str">
        <f ca="1">IFERROR(__xludf.DUMMYFUNCTION("GOOGLETRANSLATE(C4631,""en"",""hr"")"),"Crijevo")</f>
        <v>Crijevo</v>
      </c>
    </row>
    <row r="1316" spans="1:2" x14ac:dyDescent="0.2">
      <c r="A1316" s="21">
        <v>7079614</v>
      </c>
      <c r="B1316" s="18" t="str">
        <f ca="1">IFERROR(__xludf.DUMMYFUNCTION("GOOGLETRANSLATE(C4613,""en"",""hr"")"),"Crijevo")</f>
        <v>Crijevo</v>
      </c>
    </row>
    <row r="1317" spans="1:2" x14ac:dyDescent="0.2">
      <c r="A1317" s="21">
        <v>7079615</v>
      </c>
      <c r="B1317" s="18" t="str">
        <f ca="1">IFERROR(__xludf.DUMMYFUNCTION("GOOGLETRANSLATE(C4614,""en"",""hr"")"),"Crijevo")</f>
        <v>Crijevo</v>
      </c>
    </row>
    <row r="1318" spans="1:2" x14ac:dyDescent="0.2">
      <c r="A1318" s="21">
        <v>7079618</v>
      </c>
      <c r="B1318" s="18" t="str">
        <f ca="1">IFERROR(__xludf.DUMMYFUNCTION("GOOGLETRANSLATE(C6462,""en"",""hr"")"),"Ožičenje (+CH)")</f>
        <v>Ožičenje (+CH)</v>
      </c>
    </row>
    <row r="1319" spans="1:2" x14ac:dyDescent="0.2">
      <c r="A1319" s="21">
        <v>7079619</v>
      </c>
      <c r="B1319" s="18" t="str">
        <f ca="1">IFERROR(__xludf.DUMMYFUNCTION("GOOGLETRANSLATE(C5220,""en"",""hr"")"),"Zaštita")</f>
        <v>Zaštita</v>
      </c>
    </row>
    <row r="1320" spans="1:2" x14ac:dyDescent="0.2">
      <c r="A1320" s="21">
        <v>7079649</v>
      </c>
      <c r="B1320" s="18" t="str">
        <f ca="1">IFERROR(__xludf.DUMMYFUNCTION("GOOGLETRANSLATE(C4616,""en"",""hr"")"),"Ploča za pričvršćivanje")</f>
        <v>Ploča za pričvršćivanje</v>
      </c>
    </row>
    <row r="1321" spans="1:2" x14ac:dyDescent="0.2">
      <c r="A1321" s="21">
        <v>7079652</v>
      </c>
      <c r="B1321" s="18" t="str">
        <f ca="1">IFERROR(__xludf.DUMMYFUNCTION("GOOGLETRANSLATE(C1535,""en"",""hr"")"),"Kabelski svežanj za izmjenjivo vozilo")</f>
        <v>Kabelski svežanj za izmjenjivo vozilo</v>
      </c>
    </row>
    <row r="1322" spans="1:2" x14ac:dyDescent="0.2">
      <c r="A1322" s="21">
        <v>7079666</v>
      </c>
      <c r="B1322" s="18" t="str">
        <f ca="1">IFERROR(__xludf.DUMMYFUNCTION("GOOGLETRANSLATE(C6282,""en"",""hr"")"),"Kabel (+) (+O-JS)")</f>
        <v>Kabel (+) (+O-JS)</v>
      </c>
    </row>
    <row r="1323" spans="1:2" x14ac:dyDescent="0.2">
      <c r="A1323" s="21">
        <v>7079667</v>
      </c>
      <c r="B1323" s="18" t="str">
        <f ca="1">IFERROR(__xludf.DUMMYFUNCTION("GOOGLETRANSLATE(C6284,""en"",""hr"")"),"Kabel (-) (+O-JS)")</f>
        <v>Kabel (-) (+O-JS)</v>
      </c>
    </row>
    <row r="1324" spans="1:2" x14ac:dyDescent="0.2">
      <c r="A1324" s="21">
        <v>7079668</v>
      </c>
      <c r="B1324" s="18" t="str">
        <f ca="1">IFERROR(__xludf.DUMMYFUNCTION("GOOGLETRANSLATE(C6476,""en"",""hr"")"),"Ploča za pričvršćivanje")</f>
        <v>Ploča za pričvršćivanje</v>
      </c>
    </row>
    <row r="1325" spans="1:2" x14ac:dyDescent="0.2">
      <c r="A1325" s="21">
        <v>7079677</v>
      </c>
      <c r="B1325" s="18" t="str">
        <f ca="1">IFERROR(__xludf.DUMMYFUNCTION("GOOGLETRANSLATE(C35,""en"",""hr"")"),"Tenk")</f>
        <v>Tenk</v>
      </c>
    </row>
    <row r="1326" spans="1:2" x14ac:dyDescent="0.2">
      <c r="A1326" s="21">
        <v>7079705</v>
      </c>
      <c r="B1326" s="18" t="str">
        <f ca="1">IFERROR(__xludf.DUMMYFUNCTION("GOOGLETRANSLATE(C3154,""en"",""hr"")"),"Držač")</f>
        <v>Držač</v>
      </c>
    </row>
    <row r="1327" spans="1:2" x14ac:dyDescent="0.2">
      <c r="A1327" s="21">
        <v>7079713</v>
      </c>
      <c r="B1327" s="18" t="str">
        <f ca="1">IFERROR(__xludf.DUMMYFUNCTION("GOOGLETRANSLATE(C3160,""en"",""hr"")"),"Čahura")</f>
        <v>Čahura</v>
      </c>
    </row>
    <row r="1328" spans="1:2" x14ac:dyDescent="0.2">
      <c r="A1328" s="21">
        <v>7079741</v>
      </c>
      <c r="B1328" s="18" t="str">
        <f ca="1">IFERROR(__xludf.DUMMYFUNCTION("GOOGLETRANSLATE(C4538,""en"",""hr"")"),"Poklopna ploča")</f>
        <v>Poklopna ploča</v>
      </c>
    </row>
    <row r="1329" spans="1:2" x14ac:dyDescent="0.2">
      <c r="A1329" s="21">
        <v>7079746</v>
      </c>
      <c r="B1329" s="18" t="str">
        <f ca="1">IFERROR(__xludf.DUMMYFUNCTION("GOOGLETRANSLATE(C294,""en"",""hr"")"),"Prednja šasija kpl.")</f>
        <v>Prednja šasija kpl.</v>
      </c>
    </row>
    <row r="1330" spans="1:2" x14ac:dyDescent="0.2">
      <c r="A1330" s="21">
        <v>7079754</v>
      </c>
      <c r="B1330" s="18" t="str">
        <f ca="1">IFERROR(__xludf.DUMMYFUNCTION("GOOGLETRANSLATE(C4611,""en"",""hr"")"),"Crijevo")</f>
        <v>Crijevo</v>
      </c>
    </row>
    <row r="1331" spans="1:2" x14ac:dyDescent="0.2">
      <c r="A1331" s="21">
        <v>7079755</v>
      </c>
      <c r="B1331" s="18" t="str">
        <f ca="1">IFERROR(__xludf.DUMMYFUNCTION("GOOGLETRANSLATE(C4615,""en"",""hr"")"),"Crijevo")</f>
        <v>Crijevo</v>
      </c>
    </row>
    <row r="1332" spans="1:2" x14ac:dyDescent="0.2">
      <c r="A1332" s="21">
        <v>7079819</v>
      </c>
      <c r="B1332" s="18" t="str">
        <f ca="1">IFERROR(__xludf.DUMMYFUNCTION("GOOGLETRANSLATE(C4437,""en"",""hr"")"),"Odstojna cijev")</f>
        <v>Odstojna cijev</v>
      </c>
    </row>
    <row r="1333" spans="1:2" x14ac:dyDescent="0.2">
      <c r="A1333" s="21">
        <v>7079851</v>
      </c>
      <c r="B1333" s="18" t="str">
        <f ca="1">IFERROR(__xludf.DUMMYFUNCTION("GOOGLETRANSLATE(C4519,""en"",""hr"")"),"Mrežasti okvir")</f>
        <v>Mrežasti okvir</v>
      </c>
    </row>
    <row r="1334" spans="1:2" x14ac:dyDescent="0.2">
      <c r="A1334" s="21">
        <v>7079871</v>
      </c>
      <c r="B1334" s="18" t="str">
        <f ca="1">IFERROR(__xludf.DUMMYFUNCTION("GOOGLETRANSLATE(C4592,""en"",""hr"")"),"Crijevo")</f>
        <v>Crijevo</v>
      </c>
    </row>
    <row r="1335" spans="1:2" x14ac:dyDescent="0.2">
      <c r="A1335" s="21">
        <v>7079872</v>
      </c>
      <c r="B1335" s="18" t="str">
        <f ca="1">IFERROR(__xludf.DUMMYFUNCTION("GOOGLETRANSLATE(C4594,""en"",""hr"")"),"Crijevo")</f>
        <v>Crijevo</v>
      </c>
    </row>
    <row r="1336" spans="1:2" x14ac:dyDescent="0.2">
      <c r="A1336" s="21">
        <v>7079874</v>
      </c>
      <c r="B1336" s="18" t="str">
        <f ca="1">IFERROR(__xludf.DUMMYFUNCTION("GOOGLETRANSLATE(C1363,""en"",""hr"")"),"Cijev")</f>
        <v>Cijev</v>
      </c>
    </row>
    <row r="1337" spans="1:2" x14ac:dyDescent="0.2">
      <c r="A1337" s="21">
        <v>7079875</v>
      </c>
      <c r="B1337" s="18" t="str">
        <f ca="1">IFERROR(__xludf.DUMMYFUNCTION("GOOGLETRANSLATE(C4632,""en"",""hr"")"),"Crijevo")</f>
        <v>Crijevo</v>
      </c>
    </row>
    <row r="1338" spans="1:2" x14ac:dyDescent="0.2">
      <c r="A1338" s="21">
        <v>7079877</v>
      </c>
      <c r="B1338" s="18" t="str">
        <f ca="1">IFERROR(__xludf.DUMMYFUNCTION("GOOGLETRANSLATE(C4630,""en"",""hr"")"),"Crijevo")</f>
        <v>Crijevo</v>
      </c>
    </row>
    <row r="1339" spans="1:2" x14ac:dyDescent="0.2">
      <c r="A1339" s="21">
        <v>7079879</v>
      </c>
      <c r="B1339" s="18" t="str">
        <f ca="1">IFERROR(__xludf.DUMMYFUNCTION("GOOGLETRANSLATE(C1177,""en"",""hr"")"),"Držač")</f>
        <v>Držač</v>
      </c>
    </row>
    <row r="1340" spans="1:2" x14ac:dyDescent="0.2">
      <c r="A1340" s="21">
        <v>7079924</v>
      </c>
      <c r="B1340" s="18" t="str">
        <f ca="1">IFERROR(__xludf.DUMMYFUNCTION("GOOGLETRANSLATE(C4919,""en"",""hr"")"),"Zaštita")</f>
        <v>Zaštita</v>
      </c>
    </row>
    <row r="1341" spans="1:2" x14ac:dyDescent="0.2">
      <c r="A1341" s="21">
        <v>7079929</v>
      </c>
      <c r="B1341" s="18" t="str">
        <f ca="1">IFERROR(__xludf.DUMMYFUNCTION("GOOGLETRANSLATE(C5816,""en"",""hr"")"),"Montažna ploča")</f>
        <v>Montažna ploča</v>
      </c>
    </row>
    <row r="1342" spans="1:2" x14ac:dyDescent="0.2">
      <c r="A1342" s="21">
        <v>7079932</v>
      </c>
      <c r="B1342" s="18" t="str">
        <f ca="1">IFERROR(__xludf.DUMMYFUNCTION("GOOGLETRANSLATE(C5753,""en"",""hr"")"),"Montažna ploča")</f>
        <v>Montažna ploča</v>
      </c>
    </row>
    <row r="1343" spans="1:2" x14ac:dyDescent="0.2">
      <c r="A1343" s="21">
        <v>7079951</v>
      </c>
      <c r="B1343" s="18" t="str">
        <f ca="1">IFERROR(__xludf.DUMMYFUNCTION("GOOGLETRANSLATE(C2228,""en"",""hr"")"),"Montažna prirubnica")</f>
        <v>Montažna prirubnica</v>
      </c>
    </row>
    <row r="1344" spans="1:2" x14ac:dyDescent="0.2">
      <c r="A1344" s="21">
        <v>7079954</v>
      </c>
      <c r="B1344" s="18" t="str">
        <f ca="1">IFERROR(__xludf.DUMMYFUNCTION("GOOGLETRANSLATE(C4939,""en"",""hr"")"),"Magnetna ploča")</f>
        <v>Magnetna ploča</v>
      </c>
    </row>
    <row r="1345" spans="1:2" x14ac:dyDescent="0.2">
      <c r="A1345" s="21">
        <v>7079961</v>
      </c>
      <c r="B1345" s="18" t="str">
        <f ca="1">IFERROR(__xludf.DUMMYFUNCTION("GOOGLETRANSLATE(C4925,""en"",""hr"")"),"režanj")</f>
        <v>režanj</v>
      </c>
    </row>
    <row r="1346" spans="1:2" x14ac:dyDescent="0.2">
      <c r="A1346" s="21">
        <v>7079969</v>
      </c>
      <c r="B1346" s="18" t="str">
        <f ca="1">IFERROR(__xludf.DUMMYFUNCTION("GOOGLETRANSLATE(C996,""en"",""hr"")"),"Držač")</f>
        <v>Držač</v>
      </c>
    </row>
    <row r="1347" spans="1:2" x14ac:dyDescent="0.2">
      <c r="A1347" s="21">
        <v>7079970</v>
      </c>
      <c r="B1347" s="18" t="str">
        <f ca="1">IFERROR(__xludf.DUMMYFUNCTION("GOOGLETRANSLATE(C4920,""en"",""hr"")"),"Razmaknica")</f>
        <v>Razmaknica</v>
      </c>
    </row>
    <row r="1348" spans="1:2" x14ac:dyDescent="0.2">
      <c r="A1348" s="21">
        <v>7079983</v>
      </c>
      <c r="B1348" s="18" t="str">
        <f ca="1">IFERROR(__xludf.DUMMYFUNCTION("GOOGLETRANSLATE(C4994,""en"",""hr"")"),"Suuport")</f>
        <v>Suuport</v>
      </c>
    </row>
    <row r="1349" spans="1:2" x14ac:dyDescent="0.2">
      <c r="A1349" s="21">
        <v>7079989</v>
      </c>
      <c r="B1349" s="18" t="str">
        <f ca="1">IFERROR(__xludf.DUMMYFUNCTION("GOOGLETRANSLATE(C664,""en"",""hr"")"),"Držač")</f>
        <v>Držač</v>
      </c>
    </row>
    <row r="1350" spans="1:2" x14ac:dyDescent="0.2">
      <c r="A1350" s="21">
        <v>7079990</v>
      </c>
      <c r="B1350" s="18" t="str">
        <f ca="1">IFERROR(__xludf.DUMMYFUNCTION("GOOGLETRANSLATE(C655,""en"",""hr"")"),"Indikator preopterećenja kpl.")</f>
        <v>Indikator preopterećenja kpl.</v>
      </c>
    </row>
    <row r="1351" spans="1:2" x14ac:dyDescent="0.2">
      <c r="A1351" s="21">
        <v>7080038</v>
      </c>
      <c r="B1351" s="18" t="str">
        <f ca="1">IFERROR(__xludf.DUMMYFUNCTION("GOOGLETRANSLATE(C1976,""en"",""hr"")"),"Podloška za pranje")</f>
        <v>Podloška za pranje</v>
      </c>
    </row>
    <row r="1352" spans="1:2" x14ac:dyDescent="0.2">
      <c r="A1352" s="21">
        <v>7080069</v>
      </c>
      <c r="B1352" s="18" t="str">
        <f ca="1">IFERROR(__xludf.DUMMYFUNCTION("GOOGLETRANSLATE(C1174,""en"",""hr"")"),"Držač")</f>
        <v>Držač</v>
      </c>
    </row>
    <row r="1353" spans="1:2" x14ac:dyDescent="0.2">
      <c r="A1353" s="21">
        <v>7080070</v>
      </c>
      <c r="B1353" s="18" t="str">
        <f ca="1">IFERROR(__xludf.DUMMYFUNCTION("GOOGLETRANSLATE(C1172,""en"",""hr"")"),"Disk udaljenosti")</f>
        <v>Disk udaljenosti</v>
      </c>
    </row>
    <row r="1354" spans="1:2" x14ac:dyDescent="0.2">
      <c r="A1354" s="21">
        <v>7080077</v>
      </c>
      <c r="B1354" s="18" t="str">
        <f ca="1">IFERROR(__xludf.DUMMYFUNCTION("GOOGLETRANSLATE(C5416,""en"",""hr"")"),"Zaključavanje pojasa")</f>
        <v>Zaključavanje pojasa</v>
      </c>
    </row>
    <row r="1355" spans="1:2" x14ac:dyDescent="0.2">
      <c r="A1355" s="21">
        <v>7080090</v>
      </c>
      <c r="B1355" s="18" t="str">
        <f ca="1">IFERROR(__xludf.DUMMYFUNCTION("GOOGLETRANSLATE(C1367,""en"",""hr"")"),"Držač")</f>
        <v>Držač</v>
      </c>
    </row>
    <row r="1356" spans="1:2" x14ac:dyDescent="0.2">
      <c r="A1356" s="21">
        <v>7080106</v>
      </c>
      <c r="B1356" s="18" t="str">
        <f ca="1">IFERROR(__xludf.DUMMYFUNCTION("GOOGLETRANSLATE(C4603,""en"",""hr"")"),"Ploča za pričvršćivanje")</f>
        <v>Ploča za pričvršćivanje</v>
      </c>
    </row>
    <row r="1357" spans="1:2" x14ac:dyDescent="0.2">
      <c r="A1357" s="21">
        <v>7080151</v>
      </c>
      <c r="B1357" s="18" t="str">
        <f ca="1">IFERROR(__xludf.DUMMYFUNCTION("GOOGLETRANSLATE(C5125,""en"",""hr"")"),"Montažna ploča, lijevo")</f>
        <v>Montažna ploča, lijevo</v>
      </c>
    </row>
    <row r="1358" spans="1:2" x14ac:dyDescent="0.2">
      <c r="A1358" s="21">
        <v>7080152</v>
      </c>
      <c r="B1358" s="18" t="str">
        <f ca="1">IFERROR(__xludf.DUMMYFUNCTION("GOOGLETRANSLATE(C5128,""en"",""hr"")"),"Montažna ploča, desno")</f>
        <v>Montažna ploča, desno</v>
      </c>
    </row>
    <row r="1359" spans="1:2" x14ac:dyDescent="0.2">
      <c r="A1359" s="21">
        <v>7080220</v>
      </c>
      <c r="B1359" s="18" t="str">
        <f ca="1">IFERROR(__xludf.DUMMYFUNCTION("GOOGLETRANSLATE(C328,""en"",""hr"")"),"Višenamjenska podrška")</f>
        <v>Višenamjenska podrška</v>
      </c>
    </row>
    <row r="1360" spans="1:2" x14ac:dyDescent="0.2">
      <c r="A1360" s="21">
        <v>7080252</v>
      </c>
      <c r="B1360" s="18" t="str">
        <f ca="1">IFERROR(__xludf.DUMMYFUNCTION("GOOGLETRANSLATE(C3144,""en"",""hr"")"),"Prirubnica")</f>
        <v>Prirubnica</v>
      </c>
    </row>
    <row r="1361" spans="1:2" x14ac:dyDescent="0.2">
      <c r="A1361" s="21">
        <v>7080307</v>
      </c>
      <c r="B1361" s="18" t="str">
        <f ca="1">IFERROR(__xludf.DUMMYFUNCTION("GOOGLETRANSLATE(C3975,""en"",""hr"")"),"Držač")</f>
        <v>Držač</v>
      </c>
    </row>
    <row r="1362" spans="1:2" x14ac:dyDescent="0.2">
      <c r="A1362" s="21">
        <v>7080404</v>
      </c>
      <c r="B1362" s="18" t="str">
        <f ca="1">IFERROR(__xludf.DUMMYFUNCTION("GOOGLETRANSLATE(C6288,""en"",""hr"")"),"Kabelski svežanj (+FO-FA)")</f>
        <v>Kabelski svežanj (+FO-FA)</v>
      </c>
    </row>
    <row r="1363" spans="1:2" x14ac:dyDescent="0.2">
      <c r="A1363" s="21">
        <v>7080476</v>
      </c>
      <c r="B1363" s="18" t="str">
        <f ca="1">IFERROR(__xludf.DUMMYFUNCTION("GOOGLETRANSLATE(C5718,""en"",""hr"")"),"Metalni lim")</f>
        <v>Metalni lim</v>
      </c>
    </row>
    <row r="1364" spans="1:2" x14ac:dyDescent="0.2">
      <c r="A1364" s="21">
        <v>7080481</v>
      </c>
      <c r="B1364" s="18" t="str">
        <f ca="1">IFERROR(__xludf.DUMMYFUNCTION("GOOGLETRANSLATE(C465,""en"",""hr"")"),"Vučni krak FA lijevo")</f>
        <v>Vučni krak FA lijevo</v>
      </c>
    </row>
    <row r="1365" spans="1:2" x14ac:dyDescent="0.2">
      <c r="A1365" s="21">
        <v>7080482</v>
      </c>
      <c r="B1365" s="18" t="str">
        <f ca="1">IFERROR(__xludf.DUMMYFUNCTION("GOOGLETRANSLATE(C466,""en"",""hr"")"),"Vučni krak FA desno")</f>
        <v>Vučni krak FA desno</v>
      </c>
    </row>
    <row r="1366" spans="1:2" x14ac:dyDescent="0.2">
      <c r="A1366" s="21">
        <v>7080490</v>
      </c>
      <c r="B1366" s="18" t="str">
        <f ca="1">IFERROR(__xludf.DUMMYFUNCTION("GOOGLETRANSLATE(C454,""en"",""hr"")"),"Ležaj prednje kabine")</f>
        <v>Ležaj prednje kabine</v>
      </c>
    </row>
    <row r="1367" spans="1:2" x14ac:dyDescent="0.2">
      <c r="A1367" s="21">
        <v>7080635</v>
      </c>
      <c r="B1367" s="18" t="str">
        <f ca="1">IFERROR(__xludf.DUMMYFUNCTION("GOOGLETRANSLATE(C3133,""en"",""hr"")"),"Zagrada")</f>
        <v>Zagrada</v>
      </c>
    </row>
    <row r="1368" spans="1:2" x14ac:dyDescent="0.2">
      <c r="A1368" s="21">
        <v>7080656</v>
      </c>
      <c r="B1368" s="18" t="str">
        <f ca="1">IFERROR(__xludf.DUMMYFUNCTION("GOOGLETRANSLATE(C1108,""en"",""hr"")"),"Ispušna cijev")</f>
        <v>Ispušna cijev</v>
      </c>
    </row>
    <row r="1369" spans="1:2" x14ac:dyDescent="0.2">
      <c r="A1369" s="21">
        <v>7080693</v>
      </c>
      <c r="B1369" s="18" t="str">
        <f ca="1">IFERROR(__xludf.DUMMYFUNCTION("GOOGLETRANSLATE(C5472,""en"",""hr"")"),"Sigurnosni pojas u 2 točke")</f>
        <v>Sigurnosni pojas u 2 točke</v>
      </c>
    </row>
    <row r="1370" spans="1:2" x14ac:dyDescent="0.2">
      <c r="A1370" s="21">
        <v>7080703</v>
      </c>
      <c r="B1370" s="18" t="str">
        <f ca="1">IFERROR(__xludf.DUMMYFUNCTION("GOOGLETRANSLATE(C5476,""en"",""hr"")"),"Kopica za pojas 200m")</f>
        <v>Kopica za pojas 200m</v>
      </c>
    </row>
    <row r="1371" spans="1:2" x14ac:dyDescent="0.2">
      <c r="A1371" s="21">
        <v>7080892</v>
      </c>
      <c r="B1371" s="18" t="str">
        <f ca="1">IFERROR(__xludf.DUMMYFUNCTION("GOOGLETRANSLATE(C708,""en"",""hr"")"),"Pogon na kotačima")</f>
        <v>Pogon na kotačima</v>
      </c>
    </row>
    <row r="1372" spans="1:2" x14ac:dyDescent="0.2">
      <c r="A1372" s="21">
        <v>7080904</v>
      </c>
      <c r="B1372" s="18" t="str">
        <f ca="1">IFERROR(__xludf.DUMMYFUNCTION("GOOGLETRANSLATE(C1553,""en"",""hr"")"),"Rasterećenje naprezanja")</f>
        <v>Rasterećenje naprezanja</v>
      </c>
    </row>
    <row r="1373" spans="1:2" x14ac:dyDescent="0.2">
      <c r="A1373" s="21">
        <v>7080979</v>
      </c>
      <c r="B1373" s="18" t="str">
        <f ca="1">IFERROR(__xludf.DUMMYFUNCTION("GOOGLETRANSLATE(C4812,""en"",""hr"")"),"Držač")</f>
        <v>Držač</v>
      </c>
    </row>
    <row r="1374" spans="1:2" x14ac:dyDescent="0.2">
      <c r="A1374" s="21">
        <v>7080981</v>
      </c>
      <c r="B1374" s="18" t="str">
        <f ca="1">IFERROR(__xludf.DUMMYFUNCTION("GOOGLETRANSLATE(C4813,""en"",""hr"")"),"Držač")</f>
        <v>Držač</v>
      </c>
    </row>
    <row r="1375" spans="1:2" x14ac:dyDescent="0.2">
      <c r="A1375" s="21">
        <v>7081047</v>
      </c>
      <c r="B1375" s="18" t="str">
        <f ca="1">IFERROR(__xludf.DUMMYFUNCTION("GOOGLETRANSLATE(C352,""en"",""hr"")"),"Felge 6Jx16 ET68")</f>
        <v>Felge 6Jx16 ET68</v>
      </c>
    </row>
    <row r="1376" spans="1:2" x14ac:dyDescent="0.2">
      <c r="A1376" s="21">
        <v>7081052</v>
      </c>
      <c r="B1376" s="18" t="str">
        <f ca="1">IFERROR(__xludf.DUMMYFUNCTION("GOOGLETRANSLATE(C400,""en"",""hr"")"),"Felge 8Jx16 ET60")</f>
        <v>Felge 8Jx16 ET60</v>
      </c>
    </row>
    <row r="1377" spans="1:2" x14ac:dyDescent="0.2">
      <c r="A1377" s="21">
        <v>7081112</v>
      </c>
      <c r="B1377" s="18" t="str">
        <f ca="1">IFERROR(__xludf.DUMMYFUNCTION("GOOGLETRANSLATE(C347,""en"",""hr"")"),"Felge 215/75 R16, 4x2, Kenda")</f>
        <v>Felge 215/75 R16, 4x2, Kenda</v>
      </c>
    </row>
    <row r="1378" spans="1:2" x14ac:dyDescent="0.2">
      <c r="A1378" s="21">
        <v>7081115</v>
      </c>
      <c r="B1378" s="18" t="str">
        <f ca="1">IFERROR(__xludf.DUMMYFUNCTION("GOOGLETRANSLATE(C380,""en"",""hr"")"),"Kotač 255/65 R16, Yokohama")</f>
        <v>Kotač 255/65 R16, Yokohama</v>
      </c>
    </row>
    <row r="1379" spans="1:2" x14ac:dyDescent="0.2">
      <c r="A1379" s="21">
        <v>7081133</v>
      </c>
      <c r="B1379" s="18" t="str">
        <f ca="1">IFERROR(__xludf.DUMMYFUNCTION("GOOGLETRANSLATE(C3156,""en"",""hr"")"),"Držač")</f>
        <v>Držač</v>
      </c>
    </row>
    <row r="1380" spans="1:2" x14ac:dyDescent="0.2">
      <c r="A1380" s="21">
        <v>7081229</v>
      </c>
      <c r="B1380" s="18" t="str">
        <f ca="1">IFERROR(__xludf.DUMMYFUNCTION("GOOGLETRANSLATE(C4436,""en"",""hr"")"),"Stalak za izmjenjivo vozilo")</f>
        <v>Stalak za izmjenjivo vozilo</v>
      </c>
    </row>
    <row r="1381" spans="1:2" x14ac:dyDescent="0.2">
      <c r="A1381" s="21">
        <v>7081386</v>
      </c>
      <c r="B1381" s="18" t="str">
        <f ca="1">IFERROR(__xludf.DUMMYFUNCTION("GOOGLETRANSLATE(C4422,""en"",""hr"")"),"Bock")</f>
        <v>Bock</v>
      </c>
    </row>
    <row r="1382" spans="1:2" x14ac:dyDescent="0.2">
      <c r="A1382" s="21">
        <v>7081499</v>
      </c>
      <c r="B1382" s="18" t="str">
        <f ca="1">IFERROR(__xludf.DUMMYFUNCTION("GOOGLETRANSLATE(C5143,""en"",""hr"")"),"Držač")</f>
        <v>Držač</v>
      </c>
    </row>
    <row r="1383" spans="1:2" x14ac:dyDescent="0.2">
      <c r="A1383" s="21">
        <v>7081582</v>
      </c>
      <c r="B1383" s="18" t="str">
        <f ca="1">IFERROR(__xludf.DUMMYFUNCTION("GOOGLETRANSLATE(C950,""en"",""hr"")"),"Držač")</f>
        <v>Držač</v>
      </c>
    </row>
    <row r="1384" spans="1:2" x14ac:dyDescent="0.2">
      <c r="A1384" s="21">
        <v>7081584</v>
      </c>
      <c r="B1384" s="18" t="str">
        <f ca="1">IFERROR(__xludf.DUMMYFUNCTION("GOOGLETRANSLATE(C956,""en"",""hr"")"),"Cijev")</f>
        <v>Cijev</v>
      </c>
    </row>
    <row r="1385" spans="1:2" x14ac:dyDescent="0.2">
      <c r="A1385" s="21">
        <v>7081586</v>
      </c>
      <c r="B1385" s="18" t="str">
        <f ca="1">IFERROR(__xludf.DUMMYFUNCTION("GOOGLETRANSLATE(C1191,""en"",""hr"")"),"Cijev")</f>
        <v>Cijev</v>
      </c>
    </row>
    <row r="1386" spans="1:2" x14ac:dyDescent="0.2">
      <c r="A1386" s="21">
        <v>7081643</v>
      </c>
      <c r="B1386" s="18" t="str">
        <f ca="1">IFERROR(__xludf.DUMMYFUNCTION("GOOGLETRANSLATE(C1197,""en"",""hr"")"),"Mjerač ulja")</f>
        <v>Mjerač ulja</v>
      </c>
    </row>
    <row r="1387" spans="1:2" x14ac:dyDescent="0.2">
      <c r="A1387" s="21">
        <v>7081650</v>
      </c>
      <c r="B1387" s="18" t="str">
        <f ca="1">IFERROR(__xludf.DUMMYFUNCTION("GOOGLETRANSLATE(C960,""en"",""hr"")"),"Mjerač ulja")</f>
        <v>Mjerač ulja</v>
      </c>
    </row>
    <row r="1388" spans="1:2" x14ac:dyDescent="0.2">
      <c r="A1388" s="21">
        <v>7081786</v>
      </c>
      <c r="B1388" s="18" t="str">
        <f ca="1">IFERROR(__xludf.DUMMYFUNCTION("GOOGLETRANSLATE(C356,""en"",""hr"")"),"Kotač 215/75 R16, 4x4, RA")</f>
        <v>Kotač 215/75 R16, 4x4, RA</v>
      </c>
    </row>
    <row r="1389" spans="1:2" x14ac:dyDescent="0.2">
      <c r="A1389" s="21">
        <v>7081787</v>
      </c>
      <c r="B1389" s="18" t="str">
        <f ca="1">IFERROR(__xludf.DUMMYFUNCTION("GOOGLETRANSLATE(C354,""en"",""hr"")"),"Kotač 215/75 R16, 4x4, FA, Kenda")</f>
        <v>Kotač 215/75 R16, 4x4, FA, Kenda</v>
      </c>
    </row>
    <row r="1390" spans="1:2" x14ac:dyDescent="0.2">
      <c r="A1390" s="21">
        <v>7081950</v>
      </c>
      <c r="B1390" s="18" t="str">
        <f ca="1">IFERROR(__xludf.DUMMYFUNCTION("GOOGLETRANSLATE(C467,""en"",""hr"")"),"Potrošna ploča")</f>
        <v>Potrošna ploča</v>
      </c>
    </row>
    <row r="1391" spans="1:2" x14ac:dyDescent="0.2">
      <c r="A1391" s="21">
        <v>7081959</v>
      </c>
      <c r="B1391" s="18" t="str">
        <f ca="1">IFERROR(__xludf.DUMMYFUNCTION("GOOGLETRANSLATE(C2773,""en"",""hr"")"),"Razmaknica")</f>
        <v>Razmaknica</v>
      </c>
    </row>
    <row r="1392" spans="1:2" x14ac:dyDescent="0.2">
      <c r="A1392" s="21">
        <v>7082073</v>
      </c>
      <c r="B1392" s="18" t="str">
        <f ca="1">IFERROR(__xludf.DUMMYFUNCTION("GOOGLETRANSLATE(C5240,""en"",""hr"")"),"Naslon za ruke CityCat W20")</f>
        <v>Naslon za ruke CityCat W20</v>
      </c>
    </row>
    <row r="1393" spans="1:2" x14ac:dyDescent="0.2">
      <c r="A1393" s="21">
        <v>7082171</v>
      </c>
      <c r="B1393" s="18" t="str">
        <f ca="1">IFERROR(__xludf.DUMMYFUNCTION("GOOGLETRANSLATE(C6850,""en"",""hr"")"),"Držač")</f>
        <v>Držač</v>
      </c>
    </row>
    <row r="1394" spans="1:2" x14ac:dyDescent="0.2">
      <c r="A1394" s="21">
        <v>7082194</v>
      </c>
      <c r="B1394" s="18" t="str">
        <f ca="1">IFERROR(__xludf.DUMMYFUNCTION("GOOGLETRANSLATE(C6853,""en"",""hr"")"),"Okvir")</f>
        <v>Okvir</v>
      </c>
    </row>
    <row r="1395" spans="1:2" x14ac:dyDescent="0.2">
      <c r="A1395" s="21">
        <v>7082195</v>
      </c>
      <c r="B1395" s="18" t="str">
        <f ca="1">IFERROR(__xludf.DUMMYFUNCTION("GOOGLETRANSLATE(C6846,""en"",""hr"")"),"Podloška za zaključavanje")</f>
        <v>Podloška za zaključavanje</v>
      </c>
    </row>
    <row r="1396" spans="1:2" x14ac:dyDescent="0.2">
      <c r="A1396" s="21">
        <v>7082202</v>
      </c>
      <c r="B1396" s="18" t="str">
        <f ca="1">IFERROR(__xludf.DUMMYFUNCTION("GOOGLETRANSLATE(C6854,""en"",""hr"")"),"Podešivač")</f>
        <v>Podešivač</v>
      </c>
    </row>
    <row r="1397" spans="1:2" x14ac:dyDescent="0.2">
      <c r="A1397" s="21">
        <v>7082216</v>
      </c>
      <c r="B1397" s="18" t="str">
        <f ca="1">IFERROR(__xludf.DUMMYFUNCTION("GOOGLETRANSLATE(C3269,""en"",""hr"")"),"Zavoj cijevi")</f>
        <v>Zavoj cijevi</v>
      </c>
    </row>
    <row r="1398" spans="1:2" x14ac:dyDescent="0.2">
      <c r="A1398" s="21">
        <v>7082219</v>
      </c>
      <c r="B1398" s="18" t="str">
        <f ca="1">IFERROR(__xludf.DUMMYFUNCTION("GOOGLETRANSLATE(C3268,""en"",""hr"")"),"Nosač usisne cijevi")</f>
        <v>Nosač usisne cijevi</v>
      </c>
    </row>
    <row r="1399" spans="1:2" x14ac:dyDescent="0.2">
      <c r="A1399" s="21">
        <v>7082222</v>
      </c>
      <c r="B1399" s="18" t="str">
        <f ca="1">IFERROR(__xludf.DUMMYFUNCTION("GOOGLETRANSLATE(C1524,""en"",""hr"")"),"Kabel Kompresor klima uređaja DC")</f>
        <v>Kabel Kompresor klima uređaja DC</v>
      </c>
    </row>
    <row r="1400" spans="1:2" x14ac:dyDescent="0.2">
      <c r="A1400" s="21">
        <v>7082225</v>
      </c>
      <c r="B1400" s="18" t="str">
        <f ca="1">IFERROR(__xludf.DUMMYFUNCTION("GOOGLETRANSLATE(C3270,""en"",""hr"")"),"Brzo pričvršćivanje")</f>
        <v>Brzo pričvršćivanje</v>
      </c>
    </row>
    <row r="1401" spans="1:2" x14ac:dyDescent="0.2">
      <c r="A1401" s="21">
        <v>7082227</v>
      </c>
      <c r="B1401" s="18" t="str">
        <f ca="1">IFERROR(__xludf.DUMMYFUNCTION("GOOGLETRANSLATE(C3302,""en"",""hr"")"),"Gumena pregača")</f>
        <v>Gumena pregača</v>
      </c>
    </row>
    <row r="1402" spans="1:2" x14ac:dyDescent="0.2">
      <c r="A1402" s="21">
        <v>7082242</v>
      </c>
      <c r="B1402" s="18" t="str">
        <f ca="1">IFERROR(__xludf.DUMMYFUNCTION("GOOGLETRANSLATE(C6849,""en"",""hr"")"),"Trokut")</f>
        <v>Trokut</v>
      </c>
    </row>
    <row r="1403" spans="1:2" x14ac:dyDescent="0.2">
      <c r="A1403" s="21">
        <v>7082248</v>
      </c>
      <c r="B1403" s="18" t="str">
        <f ca="1">IFERROR(__xludf.DUMMYFUNCTION("GOOGLETRANSLATE(C6841,""en"",""hr"")"),"Vijak")</f>
        <v>Vijak</v>
      </c>
    </row>
    <row r="1404" spans="1:2" x14ac:dyDescent="0.2">
      <c r="A1404" s="21">
        <v>7082251</v>
      </c>
      <c r="B1404" s="18" t="str">
        <f ca="1">IFERROR(__xludf.DUMMYFUNCTION("GOOGLETRANSLATE(C6852,""en"",""hr"")"),"Vijak")</f>
        <v>Vijak</v>
      </c>
    </row>
    <row r="1405" spans="1:2" x14ac:dyDescent="0.2">
      <c r="A1405" s="21">
        <v>7082254</v>
      </c>
      <c r="B1405" s="18" t="str">
        <f ca="1">IFERROR(__xludf.DUMMYFUNCTION("GOOGLETRANSLATE(C6840,""en"",""hr"")"),"Glava vilice")</f>
        <v>Glava vilice</v>
      </c>
    </row>
    <row r="1406" spans="1:2" x14ac:dyDescent="0.2">
      <c r="A1406" s="21">
        <v>7082259</v>
      </c>
      <c r="B1406" s="18" t="str">
        <f ca="1">IFERROR(__xludf.DUMMYFUNCTION("GOOGLETRANSLATE(C6847,""en"",""hr"")"),"Vijak")</f>
        <v>Vijak</v>
      </c>
    </row>
    <row r="1407" spans="1:2" x14ac:dyDescent="0.2">
      <c r="A1407" s="21">
        <v>7082261</v>
      </c>
      <c r="B1407" s="18" t="str">
        <f ca="1">IFERROR(__xludf.DUMMYFUNCTION("GOOGLETRANSLATE(C6845,""en"",""hr"")"),"Vijak")</f>
        <v>Vijak</v>
      </c>
    </row>
    <row r="1408" spans="1:2" x14ac:dyDescent="0.2">
      <c r="A1408" s="21">
        <v>7082262</v>
      </c>
      <c r="B1408" s="18" t="str">
        <f ca="1">IFERROR(__xludf.DUMMYFUNCTION("GOOGLETRANSLATE(C6844,""en"",""hr"")"),"Perilica")</f>
        <v>Perilica</v>
      </c>
    </row>
    <row r="1409" spans="1:2" x14ac:dyDescent="0.2">
      <c r="A1409" s="21">
        <v>7082270</v>
      </c>
      <c r="B1409" s="18" t="str">
        <f ca="1">IFERROR(__xludf.DUMMYFUNCTION("GOOGLETRANSLATE(C3304,""en"",""hr"")"),"Kut")</f>
        <v>Kut</v>
      </c>
    </row>
    <row r="1410" spans="1:2" x14ac:dyDescent="0.2">
      <c r="A1410" s="21">
        <v>7082284</v>
      </c>
      <c r="B1410" s="18" t="str">
        <f ca="1">IFERROR(__xludf.DUMMYFUNCTION("GOOGLETRANSLATE(C6855,""en"",""hr"")"),"Sigurnosna matica")</f>
        <v>Sigurnosna matica</v>
      </c>
    </row>
    <row r="1411" spans="1:2" x14ac:dyDescent="0.2">
      <c r="A1411" s="21">
        <v>7082291</v>
      </c>
      <c r="B1411" s="18" t="str">
        <f ca="1">IFERROR(__xludf.DUMMYFUNCTION("GOOGLETRANSLATE(C3299,""en"",""hr"")"),"Usisna usta")</f>
        <v>Usisna usta</v>
      </c>
    </row>
    <row r="1412" spans="1:2" x14ac:dyDescent="0.2">
      <c r="A1412" s="21">
        <v>7082304</v>
      </c>
      <c r="B1412" s="18" t="str">
        <f ca="1">IFERROR(__xludf.DUMMYFUNCTION("GOOGLETRANSLATE(C3300,""en"",""hr"")"),"režanj")</f>
        <v>režanj</v>
      </c>
    </row>
    <row r="1413" spans="1:2" x14ac:dyDescent="0.2">
      <c r="A1413" s="21">
        <v>7082325</v>
      </c>
      <c r="B1413" s="18" t="str">
        <f ca="1">IFERROR(__xludf.DUMMYFUNCTION("GOOGLETRANSLATE(C3266,""en"",""hr"")"),"Držač")</f>
        <v>Držač</v>
      </c>
    </row>
    <row r="1414" spans="1:2" x14ac:dyDescent="0.2">
      <c r="A1414" s="21">
        <v>7082368</v>
      </c>
      <c r="B1414" s="18" t="str">
        <f ca="1">IFERROR(__xludf.DUMMYFUNCTION("GOOGLETRANSLATE(C3046,""en"",""hr"")"),"Usisna usta i usisna cijev kpl.")</f>
        <v>Usisna usta i usisna cijev kpl.</v>
      </c>
    </row>
    <row r="1415" spans="1:2" x14ac:dyDescent="0.2">
      <c r="A1415" s="21">
        <v>7082380</v>
      </c>
      <c r="B1415" s="18" t="str">
        <f ca="1">IFERROR(__xludf.DUMMYFUNCTION("GOOGLETRANSLATE(C3909,""en"",""hr"")"),"Kavez")</f>
        <v>Kavez</v>
      </c>
    </row>
    <row r="1416" spans="1:2" x14ac:dyDescent="0.2">
      <c r="A1416" s="21">
        <v>7082383</v>
      </c>
      <c r="B1416" s="18" t="str">
        <f ca="1">IFERROR(__xludf.DUMMYFUNCTION("GOOGLETRANSLATE(C3910,""en"",""hr"")"),"Poklopac")</f>
        <v>Poklopac</v>
      </c>
    </row>
    <row r="1417" spans="1:2" x14ac:dyDescent="0.2">
      <c r="A1417" s="21">
        <v>7082384</v>
      </c>
      <c r="B1417" s="18" t="str">
        <f ca="1">IFERROR(__xludf.DUMMYFUNCTION("GOOGLETRANSLATE(C3908,""en"",""hr"")"),"Držač")</f>
        <v>Držač</v>
      </c>
    </row>
    <row r="1418" spans="1:2" x14ac:dyDescent="0.2">
      <c r="A1418" s="21">
        <v>7082387</v>
      </c>
      <c r="B1418" s="18" t="str">
        <f ca="1">IFERROR(__xludf.DUMMYFUNCTION("GOOGLETRANSLATE(C1873,""en"",""hr"")"),"Bočne četke kpl. lijevo i desno")</f>
        <v>Bočne četke kpl. lijevo i desno</v>
      </c>
    </row>
    <row r="1419" spans="1:2" x14ac:dyDescent="0.2">
      <c r="A1419" s="21">
        <v>7082550</v>
      </c>
      <c r="B1419" s="18" t="str">
        <f ca="1">IFERROR(__xludf.DUMMYFUNCTION("GOOGLETRANSLATE(C6862,""en"",""hr"")"),"Cilindar")</f>
        <v>Cilindar</v>
      </c>
    </row>
    <row r="1420" spans="1:2" x14ac:dyDescent="0.2">
      <c r="A1420" s="21">
        <v>7082623</v>
      </c>
      <c r="B1420" s="18" t="str">
        <f ca="1">IFERROR(__xludf.DUMMYFUNCTION("GOOGLETRANSLATE(C3633,""en"",""hr"")"),"Držač")</f>
        <v>Držač</v>
      </c>
    </row>
    <row r="1421" spans="1:2" x14ac:dyDescent="0.2">
      <c r="A1421" s="21">
        <v>7082644</v>
      </c>
      <c r="B1421" s="18" t="str">
        <f ca="1">IFERROR(__xludf.DUMMYFUNCTION("GOOGLETRANSLATE(C1527,""en"",""hr"")"),"razmaknica")</f>
        <v>razmaknica</v>
      </c>
    </row>
    <row r="1422" spans="1:2" x14ac:dyDescent="0.2">
      <c r="A1422" s="21">
        <v>7082649</v>
      </c>
      <c r="B1422" s="18" t="str">
        <f ca="1">IFERROR(__xludf.DUMMYFUNCTION("GOOGLETRANSLATE(C5199,""en"",""hr"")"),"Razdjelnik zraka")</f>
        <v>Razdjelnik zraka</v>
      </c>
    </row>
    <row r="1423" spans="1:2" x14ac:dyDescent="0.2">
      <c r="A1423" s="21">
        <v>7082714</v>
      </c>
      <c r="B1423" s="18" t="str">
        <f ca="1">IFERROR(__xludf.DUMMYFUNCTION("GOOGLETRANSLATE(C2267,""en"",""hr"")"),"Ruka")</f>
        <v>Ruka</v>
      </c>
    </row>
    <row r="1424" spans="1:2" x14ac:dyDescent="0.2">
      <c r="A1424" s="21">
        <v>7082716</v>
      </c>
      <c r="B1424" s="18" t="str">
        <f ca="1">IFERROR(__xludf.DUMMYFUNCTION("GOOGLETRANSLATE(C2264,""en"",""hr"")"),"Ruka četke")</f>
        <v>Ruka četke</v>
      </c>
    </row>
    <row r="1425" spans="1:2" x14ac:dyDescent="0.2">
      <c r="A1425" s="21">
        <v>7082740</v>
      </c>
      <c r="B1425" s="18" t="str">
        <f ca="1">IFERROR(__xludf.DUMMYFUNCTION("GOOGLETRANSLATE(C4837,""en"",""hr"")"),"Flap, weiss")</f>
        <v>Flap, weiss</v>
      </c>
    </row>
    <row r="1426" spans="1:2" x14ac:dyDescent="0.2">
      <c r="A1426" s="21">
        <v>7082743</v>
      </c>
      <c r="B1426" s="18" t="str">
        <f ca="1">IFERROR(__xludf.DUMMYFUNCTION("GOOGLETRANSLATE(C1474,""en"",""hr"")"),"Razmaknica")</f>
        <v>Razmaknica</v>
      </c>
    </row>
    <row r="1427" spans="1:2" x14ac:dyDescent="0.2">
      <c r="A1427" s="21">
        <v>7082751</v>
      </c>
      <c r="B1427" s="18" t="str">
        <f ca="1">IFERROR(__xludf.DUMMYFUNCTION("GOOGLETRANSLATE(C4838,""en"",""hr"")"),"Poklopac, bijeli")</f>
        <v>Poklopac, bijeli</v>
      </c>
    </row>
    <row r="1428" spans="1:2" x14ac:dyDescent="0.2">
      <c r="A1428" s="21">
        <v>7082790</v>
      </c>
      <c r="B1428" s="18" t="str">
        <f ca="1">IFERROR(__xludf.DUMMYFUNCTION("GOOGLETRANSLATE(C4521,""en"",""hr"")"),"Metalni lim")</f>
        <v>Metalni lim</v>
      </c>
    </row>
    <row r="1429" spans="1:2" x14ac:dyDescent="0.2">
      <c r="A1429" s="21">
        <v>7082793</v>
      </c>
      <c r="B1429" s="18" t="str">
        <f ca="1">IFERROR(__xludf.DUMMYFUNCTION("GOOGLETRANSLATE(C4520,""en"",""hr"")"),"Filter za plijesan")</f>
        <v>Filter za plijesan</v>
      </c>
    </row>
    <row r="1430" spans="1:2" x14ac:dyDescent="0.2">
      <c r="A1430" s="21">
        <v>7082836</v>
      </c>
      <c r="B1430" s="18" t="str">
        <f ca="1">IFERROR(__xludf.DUMMYFUNCTION("GOOGLETRANSLATE(C3246,""en"",""hr"")"),"Rotacijski dio")</f>
        <v>Rotacijski dio</v>
      </c>
    </row>
    <row r="1431" spans="1:2" x14ac:dyDescent="0.2">
      <c r="A1431" s="21">
        <v>7082840</v>
      </c>
      <c r="B1431" s="18" t="str">
        <f ca="1">IFERROR(__xludf.DUMMYFUNCTION("GOOGLETRANSLATE(C3247,""en"",""hr"")"),"Prirubnica")</f>
        <v>Prirubnica</v>
      </c>
    </row>
    <row r="1432" spans="1:2" x14ac:dyDescent="0.2">
      <c r="A1432" s="21">
        <v>7082841</v>
      </c>
      <c r="B1432" s="18" t="str">
        <f ca="1">IFERROR(__xludf.DUMMYFUNCTION("GOOGLETRANSLATE(C3245,""en"",""hr"")"),"Uklapanje")</f>
        <v>Uklapanje</v>
      </c>
    </row>
    <row r="1433" spans="1:2" x14ac:dyDescent="0.2">
      <c r="A1433" s="21">
        <v>7082846</v>
      </c>
      <c r="B1433" s="18" t="str">
        <f ca="1">IFERROR(__xludf.DUMMYFUNCTION("GOOGLETRANSLATE(C3234,""en"",""hr"")"),"Usisno crijevo D180")</f>
        <v>Usisno crijevo D180</v>
      </c>
    </row>
    <row r="1434" spans="1:2" x14ac:dyDescent="0.2">
      <c r="A1434" s="21">
        <v>7082857</v>
      </c>
      <c r="B1434" s="18" t="str">
        <f ca="1">IFERROR(__xludf.DUMMYFUNCTION("GOOGLETRANSLATE(C3258,""en"",""hr"")"),"Usisna cijev")</f>
        <v>Usisna cijev</v>
      </c>
    </row>
    <row r="1435" spans="1:2" x14ac:dyDescent="0.2">
      <c r="A1435" s="21">
        <v>7082865</v>
      </c>
      <c r="B1435" s="18" t="str">
        <f ca="1">IFERROR(__xludf.DUMMYFUNCTION("GOOGLETRANSLATE(C3264,""en"",""hr"")"),"Gumeni profil")</f>
        <v>Gumeni profil</v>
      </c>
    </row>
    <row r="1436" spans="1:2" x14ac:dyDescent="0.2">
      <c r="A1436" s="21">
        <v>7082866</v>
      </c>
      <c r="B1436" s="18" t="str">
        <f ca="1">IFERROR(__xludf.DUMMYFUNCTION("GOOGLETRANSLATE(C3262,""en"",""hr"")"),"Stezni prsten")</f>
        <v>Stezni prsten</v>
      </c>
    </row>
    <row r="1437" spans="1:2" x14ac:dyDescent="0.2">
      <c r="A1437" s="21">
        <v>7082871</v>
      </c>
      <c r="B1437" s="18" t="str">
        <f ca="1">IFERROR(__xludf.DUMMYFUNCTION("GOOGLETRANSLATE(C3260,""en"",""hr"")"),"Usisna cijev")</f>
        <v>Usisna cijev</v>
      </c>
    </row>
    <row r="1438" spans="1:2" x14ac:dyDescent="0.2">
      <c r="A1438" s="21">
        <v>7082872</v>
      </c>
      <c r="B1438" s="18" t="str">
        <f ca="1">IFERROR(__xludf.DUMMYFUNCTION("GOOGLETRANSLATE(C3232,""en"",""hr"")"),"Usisna cijev")</f>
        <v>Usisna cijev</v>
      </c>
    </row>
    <row r="1439" spans="1:2" x14ac:dyDescent="0.2">
      <c r="A1439" s="21">
        <v>7082932</v>
      </c>
      <c r="B1439" s="18" t="str">
        <f ca="1">IFERROR(__xludf.DUMMYFUNCTION("GOOGLETRANSLATE(C4527,""en"",""hr"")"),"Poklopac")</f>
        <v>Poklopac</v>
      </c>
    </row>
    <row r="1440" spans="1:2" x14ac:dyDescent="0.2">
      <c r="A1440" s="21">
        <v>7082934</v>
      </c>
      <c r="B1440" s="18" t="str">
        <f ca="1">IFERROR(__xludf.DUMMYFUNCTION("GOOGLETRANSLATE(C4503,""en"",""hr"")"),"Mrežasta kpl.")</f>
        <v>Mrežasta kpl.</v>
      </c>
    </row>
    <row r="1441" spans="1:2" x14ac:dyDescent="0.2">
      <c r="A1441" s="21">
        <v>7082936</v>
      </c>
      <c r="B1441" s="18" t="str">
        <f ca="1">IFERROR(__xludf.DUMMYFUNCTION("GOOGLETRANSLATE(C3271,""en"",""hr"")"),"Usisno crijevo D160")</f>
        <v>Usisno crijevo D160</v>
      </c>
    </row>
    <row r="1442" spans="1:2" x14ac:dyDescent="0.2">
      <c r="A1442" s="21">
        <v>7082958</v>
      </c>
      <c r="B1442" s="18" t="str">
        <f ca="1">IFERROR(__xludf.DUMMYFUNCTION("GOOGLETRANSLATE(C3182,""en"",""hr"")"),"Poluga")</f>
        <v>Poluga</v>
      </c>
    </row>
    <row r="1443" spans="1:2" x14ac:dyDescent="0.2">
      <c r="A1443" s="21">
        <v>7082960</v>
      </c>
      <c r="B1443" s="18" t="str">
        <f ca="1">IFERROR(__xludf.DUMMYFUNCTION("GOOGLETRANSLATE(C3183,""en"",""hr"")"),"Poluga")</f>
        <v>Poluga</v>
      </c>
    </row>
    <row r="1444" spans="1:2" x14ac:dyDescent="0.2">
      <c r="A1444" s="21">
        <v>7082983</v>
      </c>
      <c r="B1444" s="18" t="str">
        <f ca="1">IFERROR(__xludf.DUMMYFUNCTION("GOOGLETRANSLATE(C2265,""en"",""hr"")"),"Ruka")</f>
        <v>Ruka</v>
      </c>
    </row>
    <row r="1445" spans="1:2" x14ac:dyDescent="0.2">
      <c r="A1445" s="21">
        <v>7082987</v>
      </c>
      <c r="B1445" s="18" t="str">
        <f ca="1">IFERROR(__xludf.DUMMYFUNCTION("GOOGLETRANSLATE(C2276,""en"",""hr"")"),"Stražar, lijevo")</f>
        <v>Stražar, lijevo</v>
      </c>
    </row>
    <row r="1446" spans="1:2" x14ac:dyDescent="0.2">
      <c r="A1446" s="21">
        <v>7082989</v>
      </c>
      <c r="B1446" s="18" t="str">
        <f ca="1">IFERROR(__xludf.DUMMYFUNCTION("GOOGLETRANSLATE(C2275,""en"",""hr"")"),"Stražar, točno")</f>
        <v>Stražar, točno</v>
      </c>
    </row>
    <row r="1447" spans="1:2" x14ac:dyDescent="0.2">
      <c r="A1447" s="21">
        <v>7082994</v>
      </c>
      <c r="B1447" s="18" t="str">
        <f ca="1">IFERROR(__xludf.DUMMYFUNCTION("GOOGLETRANSLATE(C5170,""en"",""hr"")"),"Utikači, vijci - pojas u 2 točke")</f>
        <v>Utikači, vijci - pojas u 2 točke</v>
      </c>
    </row>
    <row r="1448" spans="1:2" x14ac:dyDescent="0.2">
      <c r="A1448" s="21">
        <v>7083021</v>
      </c>
      <c r="B1448" s="18" t="str">
        <f ca="1">IFERROR(__xludf.DUMMYFUNCTION("GOOGLETRANSLATE(C218,""en"",""hr"")"),"Zadržni valjak")</f>
        <v>Zadržni valjak</v>
      </c>
    </row>
    <row r="1449" spans="1:2" x14ac:dyDescent="0.2">
      <c r="A1449" s="21">
        <v>7083029</v>
      </c>
      <c r="B1449" s="18" t="str">
        <f ca="1">IFERROR(__xludf.DUMMYFUNCTION("GOOGLETRANSLATE(C4504,""en"",""hr"")"),"Okvir poklopca spremnika, verzija 2")</f>
        <v>Okvir poklopca spremnika, verzija 2</v>
      </c>
    </row>
    <row r="1450" spans="1:2" x14ac:dyDescent="0.2">
      <c r="A1450" s="21">
        <v>7083066</v>
      </c>
      <c r="B1450" s="18" t="str">
        <f ca="1">IFERROR(__xludf.DUMMYFUNCTION("GOOGLETRANSLATE(C2262,""en"",""hr"")"),"Čahura")</f>
        <v>Čahura</v>
      </c>
    </row>
    <row r="1451" spans="1:2" x14ac:dyDescent="0.2">
      <c r="A1451" s="21">
        <v>7083122</v>
      </c>
      <c r="B1451" s="18" t="str">
        <f ca="1">IFERROR(__xludf.DUMMYFUNCTION("GOOGLETRANSLATE(C4859,""en"",""hr"")"),"Stop")</f>
        <v>Stop</v>
      </c>
    </row>
    <row r="1452" spans="1:2" x14ac:dyDescent="0.2">
      <c r="A1452" s="21">
        <v>7083123</v>
      </c>
      <c r="B1452" s="18" t="str">
        <f ca="1">IFERROR(__xludf.DUMMYFUNCTION("GOOGLETRANSLATE(C4860,""en"",""hr"")"),"Stop")</f>
        <v>Stop</v>
      </c>
    </row>
    <row r="1453" spans="1:2" x14ac:dyDescent="0.2">
      <c r="A1453" s="21">
        <v>7083279</v>
      </c>
      <c r="B1453" s="18" t="str">
        <f ca="1">IFERROR(__xludf.DUMMYFUNCTION("GOOGLETRANSLATE(C3310,""en"",""hr"")"),"Stezna traka")</f>
        <v>Stezna traka</v>
      </c>
    </row>
    <row r="1454" spans="1:2" x14ac:dyDescent="0.2">
      <c r="A1454" s="21">
        <v>7083298</v>
      </c>
      <c r="B1454" s="18" t="str">
        <f ca="1">IFERROR(__xludf.DUMMYFUNCTION("GOOGLETRANSLATE(C3303,""en"",""hr"")"),"Nazuvica za crijevo")</f>
        <v>Nazuvica za crijevo</v>
      </c>
    </row>
    <row r="1455" spans="1:2" x14ac:dyDescent="0.2">
      <c r="A1455" s="21">
        <v>7083300</v>
      </c>
      <c r="B1455" s="18" t="str">
        <f ca="1">IFERROR(__xludf.DUMMYFUNCTION("GOOGLETRANSLATE(C1209,""en"",""hr"")"),"Ploča za pričvršćivanje")</f>
        <v>Ploča za pričvršćivanje</v>
      </c>
    </row>
    <row r="1456" spans="1:2" x14ac:dyDescent="0.2">
      <c r="A1456" s="21">
        <v>7083304</v>
      </c>
      <c r="B1456" s="18" t="str">
        <f ca="1">IFERROR(__xludf.DUMMYFUNCTION("GOOGLETRANSLATE(C3281,""en"",""hr"")"),"Čahura")</f>
        <v>Čahura</v>
      </c>
    </row>
    <row r="1457" spans="1:2" x14ac:dyDescent="0.2">
      <c r="A1457" s="21">
        <v>7083317</v>
      </c>
      <c r="B1457" s="18" t="str">
        <f ca="1">IFERROR(__xludf.DUMMYFUNCTION("GOOGLETRANSLATE(C3729,""en"",""hr"")"),"Restriktor punjenja")</f>
        <v>Restriktor punjenja</v>
      </c>
    </row>
    <row r="1458" spans="1:2" x14ac:dyDescent="0.2">
      <c r="A1458" s="21">
        <v>7083339</v>
      </c>
      <c r="B1458" s="18" t="str">
        <f ca="1">IFERROR(__xludf.DUMMYFUNCTION("GOOGLETRANSLATE(C643,""en"",""hr"")"),"Pogon na kotačima")</f>
        <v>Pogon na kotačima</v>
      </c>
    </row>
    <row r="1459" spans="1:2" x14ac:dyDescent="0.2">
      <c r="A1459" s="21">
        <v>7083456</v>
      </c>
      <c r="B1459" s="18" t="str">
        <f ca="1">IFERROR(__xludf.DUMMYFUNCTION("GOOGLETRANSLATE(C4419,""en"",""hr"")"),"Vijak")</f>
        <v>Vijak</v>
      </c>
    </row>
    <row r="1460" spans="1:2" x14ac:dyDescent="0.2">
      <c r="A1460" s="21">
        <v>7083522</v>
      </c>
      <c r="B1460" s="18" t="str">
        <f ca="1">IFERROR(__xludf.DUMMYFUNCTION("GOOGLETRANSLATE(C80,""en"",""hr"")"),"Okrugla četka - PLA ""BIO"" V20")</f>
        <v>Okrugla četka - PLA "BIO" V20</v>
      </c>
    </row>
    <row r="1461" spans="1:2" x14ac:dyDescent="0.2">
      <c r="A1461" s="21">
        <v>7083535</v>
      </c>
      <c r="B1461" s="18" t="str">
        <f ca="1">IFERROR(__xludf.DUMMYFUNCTION("GOOGLETRANSLATE(C6325,""en"",""hr"")"),"Podrška za zaslon, desno")</f>
        <v>Podrška za zaslon, desno</v>
      </c>
    </row>
    <row r="1462" spans="1:2" x14ac:dyDescent="0.2">
      <c r="A1462" s="21">
        <v>7083537</v>
      </c>
      <c r="B1462" s="18" t="str">
        <f ca="1">IFERROR(__xludf.DUMMYFUNCTION("GOOGLETRANSLATE(C6324,""en"",""hr"")"),"Prikaz")</f>
        <v>Prikaz</v>
      </c>
    </row>
    <row r="1463" spans="1:2" x14ac:dyDescent="0.2">
      <c r="A1463" s="21">
        <v>7083544</v>
      </c>
      <c r="B1463" s="18" t="str">
        <f ca="1">IFERROR(__xludf.DUMMYFUNCTION("GOOGLETRANSLATE(C6326,""en"",""hr"")"),"Podrška za zaslon, lijevo")</f>
        <v>Podrška za zaslon, lijevo</v>
      </c>
    </row>
    <row r="1464" spans="1:2" x14ac:dyDescent="0.2">
      <c r="A1464" s="21">
        <v>7083571</v>
      </c>
      <c r="B1464" s="18" t="str">
        <f ca="1">IFERROR(__xludf.DUMMYFUNCTION("GOOGLETRANSLATE(C4693,""en"",""hr"")"),"Perilica")</f>
        <v>Perilica</v>
      </c>
    </row>
    <row r="1465" spans="1:2" x14ac:dyDescent="0.2">
      <c r="A1465" s="21">
        <v>7083601</v>
      </c>
      <c r="B1465" s="18" t="str">
        <f ca="1">IFERROR(__xludf.DUMMYFUNCTION("GOOGLETRANSLATE(C4974,""en"",""hr"")"),"Mat")</f>
        <v>Mat</v>
      </c>
    </row>
    <row r="1466" spans="1:2" x14ac:dyDescent="0.2">
      <c r="A1466" s="21">
        <v>7083603</v>
      </c>
      <c r="B1466" s="18" t="str">
        <f ca="1">IFERROR(__xludf.DUMMYFUNCTION("GOOGLETRANSLATE(C2164,""en"",""hr"")"),"Hidraulički cilindar")</f>
        <v>Hidraulički cilindar</v>
      </c>
    </row>
    <row r="1467" spans="1:2" x14ac:dyDescent="0.2">
      <c r="A1467" s="21">
        <v>7083633</v>
      </c>
      <c r="B1467" s="18" t="str">
        <f ca="1">IFERROR(__xludf.DUMMYFUNCTION("GOOGLETRANSLATE(C4709,""en"",""hr"")"),"Zagrada")</f>
        <v>Zagrada</v>
      </c>
    </row>
    <row r="1468" spans="1:2" x14ac:dyDescent="0.2">
      <c r="A1468" s="21">
        <v>7083648</v>
      </c>
      <c r="B1468" s="18" t="str">
        <f ca="1">IFERROR(__xludf.DUMMYFUNCTION("GOOGLETRANSLATE(C3538,""en"",""hr"")"),"Gumeni element")</f>
        <v>Gumeni element</v>
      </c>
    </row>
    <row r="1469" spans="1:2" x14ac:dyDescent="0.2">
      <c r="A1469" s="21">
        <v>7083649</v>
      </c>
      <c r="B1469" s="18" t="str">
        <f ca="1">IFERROR(__xludf.DUMMYFUNCTION("GOOGLETRANSLATE(C3540,""en"",""hr"")"),"Tenk cpl.")</f>
        <v>Tenk cpl.</v>
      </c>
    </row>
    <row r="1470" spans="1:2" x14ac:dyDescent="0.2">
      <c r="A1470" s="21">
        <v>7083653</v>
      </c>
      <c r="B1470" s="18" t="str">
        <f ca="1">IFERROR(__xludf.DUMMYFUNCTION("GOOGLETRANSLATE(C6650,""en"",""hr"")"),"podrška")</f>
        <v>podrška</v>
      </c>
    </row>
    <row r="1471" spans="1:2" x14ac:dyDescent="0.2">
      <c r="A1471" s="21">
        <v>7083692</v>
      </c>
      <c r="B1471" s="18" t="str">
        <f ca="1">IFERROR(__xludf.DUMMYFUNCTION("GOOGLETRANSLATE(C5223,""en"",""hr"")"),"Ploča, baza")</f>
        <v>Ploča, baza</v>
      </c>
    </row>
    <row r="1472" spans="1:2" x14ac:dyDescent="0.2">
      <c r="A1472" s="21">
        <v>7083755</v>
      </c>
      <c r="B1472" s="18" t="str">
        <f ca="1">IFERROR(__xludf.DUMMYFUNCTION("GOOGLETRANSLATE(C1769,""en"",""hr"")"),"Jedinica za podršku")</f>
        <v>Jedinica za podršku</v>
      </c>
    </row>
    <row r="1473" spans="1:2" x14ac:dyDescent="0.2">
      <c r="A1473" s="21">
        <v>7083764</v>
      </c>
      <c r="B1473" s="18" t="str">
        <f ca="1">IFERROR(__xludf.DUMMYFUNCTION("GOOGLETRANSLATE(C1770,""en"",""hr"")"),"Pol")</f>
        <v>Pol</v>
      </c>
    </row>
    <row r="1474" spans="1:2" x14ac:dyDescent="0.2">
      <c r="A1474" s="21">
        <v>7083765</v>
      </c>
      <c r="B1474" s="18" t="str">
        <f ca="1">IFERROR(__xludf.DUMMYFUNCTION("GOOGLETRANSLATE(C1776,""en"",""hr"")"),"Pol")</f>
        <v>Pol</v>
      </c>
    </row>
    <row r="1475" spans="1:2" x14ac:dyDescent="0.2">
      <c r="A1475" s="21">
        <v>7083774</v>
      </c>
      <c r="B1475" s="18" t="str">
        <f ca="1">IFERROR(__xludf.DUMMYFUNCTION("GOOGLETRANSLATE(C644,""en"",""hr"")"),"Pogon na kotačima")</f>
        <v>Pogon na kotačima</v>
      </c>
    </row>
    <row r="1476" spans="1:2" x14ac:dyDescent="0.2">
      <c r="A1476" s="21">
        <v>7083789</v>
      </c>
      <c r="B1476" s="18" t="str">
        <f ca="1">IFERROR(__xludf.DUMMYFUNCTION("GOOGLETRANSLATE(C1772,""en"",""hr"")"),"Rasterećenje naprezanja")</f>
        <v>Rasterećenje naprezanja</v>
      </c>
    </row>
    <row r="1477" spans="1:2" x14ac:dyDescent="0.2">
      <c r="A1477" s="21">
        <v>7083798</v>
      </c>
      <c r="B1477" s="18" t="str">
        <f ca="1">IFERROR(__xludf.DUMMYFUNCTION("GOOGLETRANSLATE(C1773,""en"",""hr"")"),"Pol")</f>
        <v>Pol</v>
      </c>
    </row>
    <row r="1478" spans="1:2" x14ac:dyDescent="0.2">
      <c r="A1478" s="21">
        <v>7083803</v>
      </c>
      <c r="B1478" s="18" t="str">
        <f ca="1">IFERROR(__xludf.DUMMYFUNCTION("GOOGLETRANSLATE(C1811,""en"",""hr"")"),"Držač")</f>
        <v>Držač</v>
      </c>
    </row>
    <row r="1479" spans="1:2" x14ac:dyDescent="0.2">
      <c r="A1479" s="21">
        <v>7083962</v>
      </c>
      <c r="B1479" s="18" t="str">
        <f ca="1">IFERROR(__xludf.DUMMYFUNCTION("GOOGLETRANSLATE(C3055,""en"",""hr"")"),"Usisna mlaznica, lanac")</f>
        <v>Usisna mlaznica, lanac</v>
      </c>
    </row>
    <row r="1480" spans="1:2" x14ac:dyDescent="0.2">
      <c r="A1480" s="21">
        <v>7084041</v>
      </c>
      <c r="B1480" s="18" t="str">
        <f ca="1">IFERROR(__xludf.DUMMYFUNCTION("GOOGLETRANSLATE(C5272,""en"",""hr"")"),"Držač")</f>
        <v>Držač</v>
      </c>
    </row>
    <row r="1481" spans="1:2" x14ac:dyDescent="0.2">
      <c r="A1481" s="21">
        <v>7084046</v>
      </c>
      <c r="B1481" s="18" t="str">
        <f ca="1">IFERROR(__xludf.DUMMYFUNCTION("GOOGLETRANSLATE(C5274,""en"",""hr"")"),"Držač")</f>
        <v>Držač</v>
      </c>
    </row>
    <row r="1482" spans="1:2" x14ac:dyDescent="0.2">
      <c r="A1482" s="21">
        <v>7084149</v>
      </c>
      <c r="B1482" s="18" t="str">
        <f ca="1">IFERROR(__xludf.DUMMYFUNCTION("GOOGLETRANSLATE(C1977,""en"",""hr"")"),"Paralelogram - štap")</f>
        <v>Paralelogram - štap</v>
      </c>
    </row>
    <row r="1483" spans="1:2" x14ac:dyDescent="0.2">
      <c r="A1483" s="21">
        <v>7084453</v>
      </c>
      <c r="B1483" s="18" t="str">
        <f ca="1">IFERROR(__xludf.DUMMYFUNCTION("GOOGLETRANSLATE(C1781,""en"",""hr"")"),"Zaštita")</f>
        <v>Zaštita</v>
      </c>
    </row>
    <row r="1484" spans="1:2" x14ac:dyDescent="0.2">
      <c r="A1484" s="21">
        <v>7084479</v>
      </c>
      <c r="B1484" s="18" t="str">
        <f ca="1">IFERROR(__xludf.DUMMYFUNCTION("GOOGLETRANSLATE(C59,""en"",""hr"")"),"Bočna pregača")</f>
        <v>Bočna pregača</v>
      </c>
    </row>
    <row r="1485" spans="1:2" x14ac:dyDescent="0.2">
      <c r="A1485" s="21">
        <v>7084484</v>
      </c>
      <c r="B1485" s="18" t="str">
        <f ca="1">IFERROR(__xludf.DUMMYFUNCTION("GOOGLETRANSLATE(C3058,""en"",""hr"")"),"Set dijelova za naknadnu ugradnju")</f>
        <v>Set dijelova za naknadnu ugradnju</v>
      </c>
    </row>
    <row r="1486" spans="1:2" x14ac:dyDescent="0.2">
      <c r="A1486" s="21">
        <v>7084498</v>
      </c>
      <c r="B1486" s="18" t="str">
        <f ca="1">IFERROR(__xludf.DUMMYFUNCTION("GOOGLETRANSLATE(C1725,""en"",""hr"")"),"Držač")</f>
        <v>Držač</v>
      </c>
    </row>
    <row r="1487" spans="1:2" x14ac:dyDescent="0.2">
      <c r="A1487" s="21">
        <v>7084608</v>
      </c>
      <c r="B1487" s="18" t="str">
        <f ca="1">IFERROR(__xludf.DUMMYFUNCTION("GOOGLETRANSLATE(C6652,""en"",""hr"")"),"Razmaknica")</f>
        <v>Razmaknica</v>
      </c>
    </row>
    <row r="1488" spans="1:2" x14ac:dyDescent="0.2">
      <c r="A1488" s="21">
        <v>7084710</v>
      </c>
      <c r="B1488" s="18" t="str">
        <f ca="1">IFERROR(__xludf.DUMMYFUNCTION("GOOGLETRANSLATE(C3730,""en"",""hr"")"),"Držač")</f>
        <v>Držač</v>
      </c>
    </row>
    <row r="1489" spans="1:2" x14ac:dyDescent="0.2">
      <c r="A1489" s="21">
        <v>7085091</v>
      </c>
      <c r="B1489" s="18" t="str">
        <f ca="1">IFERROR(__xludf.DUMMYFUNCTION("GOOGLETRANSLATE(C5569,""en"",""hr"")"),"Crijevo")</f>
        <v>Crijevo</v>
      </c>
    </row>
    <row r="1490" spans="1:2" x14ac:dyDescent="0.2">
      <c r="A1490" s="21">
        <v>7085093</v>
      </c>
      <c r="B1490" s="18" t="str">
        <f ca="1">IFERROR(__xludf.DUMMYFUNCTION("GOOGLETRANSLATE(C5571,""en"",""hr"")"),"Crijevo")</f>
        <v>Crijevo</v>
      </c>
    </row>
    <row r="1491" spans="1:2" x14ac:dyDescent="0.2">
      <c r="A1491" s="21">
        <v>7085330</v>
      </c>
      <c r="B1491" s="18" t="str">
        <f ca="1">IFERROR(__xludf.DUMMYFUNCTION("GOOGLETRANSLATE(C6307,""en"",""hr"")"),"Kabelski svežanj (+PP-EV)")</f>
        <v>Kabelski svežanj (+PP-EV)</v>
      </c>
    </row>
    <row r="1492" spans="1:2" x14ac:dyDescent="0.2">
      <c r="A1492" s="21">
        <v>7085337</v>
      </c>
      <c r="B1492" s="18" t="str">
        <f ca="1">IFERROR(__xludf.DUMMYFUNCTION("GOOGLETRANSLATE(C1813,""en"",""hr"")"),"Držač")</f>
        <v>Držač</v>
      </c>
    </row>
    <row r="1493" spans="1:2" x14ac:dyDescent="0.2">
      <c r="A1493" s="21">
        <v>7085338</v>
      </c>
      <c r="B1493" s="18" t="str">
        <f ca="1">IFERROR(__xludf.DUMMYFUNCTION("GOOGLETRANSLATE(C1812,""en"",""hr"")"),"Rasterećenje naprezanja")</f>
        <v>Rasterećenje naprezanja</v>
      </c>
    </row>
    <row r="1494" spans="1:2" x14ac:dyDescent="0.2">
      <c r="A1494" s="21">
        <v>7085348</v>
      </c>
      <c r="B1494" s="18" t="str">
        <f ca="1">IFERROR(__xludf.DUMMYFUNCTION("GOOGLETRANSLATE(C1714,""en"",""hr"")"),"Ožičenje")</f>
        <v>Ožičenje</v>
      </c>
    </row>
    <row r="1495" spans="1:2" x14ac:dyDescent="0.2">
      <c r="A1495" s="21">
        <v>7085350</v>
      </c>
      <c r="B1495" s="18" t="str">
        <f ca="1">IFERROR(__xludf.DUMMYFUNCTION("GOOGLETRANSLATE(C1713,""en"",""hr"")"),"Ožičenje")</f>
        <v>Ožičenje</v>
      </c>
    </row>
    <row r="1496" spans="1:2" x14ac:dyDescent="0.2">
      <c r="A1496" s="21">
        <v>7085533</v>
      </c>
      <c r="B1496" s="18" t="str">
        <f ca="1">IFERROR(__xludf.DUMMYFUNCTION("GOOGLETRANSLATE(C4708,""en"",""hr"")"),"Zaštita, bijela")</f>
        <v>Zaštita, bijela</v>
      </c>
    </row>
    <row r="1497" spans="1:2" x14ac:dyDescent="0.2">
      <c r="A1497" s="21">
        <v>7085628</v>
      </c>
      <c r="B1497" s="18" t="str">
        <f ca="1">IFERROR(__xludf.DUMMYFUNCTION("GOOGLETRANSLATE(C1041,""en"",""hr"")"),"Zaštita ventilatora")</f>
        <v>Zaštita ventilatora</v>
      </c>
    </row>
    <row r="1498" spans="1:2" x14ac:dyDescent="0.2">
      <c r="A1498" s="21">
        <v>7085629</v>
      </c>
      <c r="B1498" s="18" t="str">
        <f ca="1">IFERROR(__xludf.DUMMYFUNCTION("GOOGLETRANSLATE(C1042,""en"",""hr"")"),"Zaštita ventilatora")</f>
        <v>Zaštita ventilatora</v>
      </c>
    </row>
    <row r="1499" spans="1:2" x14ac:dyDescent="0.2">
      <c r="A1499" s="21">
        <v>7085630</v>
      </c>
      <c r="B1499" s="18" t="str">
        <f ca="1">IFERROR(__xludf.DUMMYFUNCTION("GOOGLETRANSLATE(C1043,""en"",""hr"")"),"Zaštita ventilatora")</f>
        <v>Zaštita ventilatora</v>
      </c>
    </row>
    <row r="1500" spans="1:2" x14ac:dyDescent="0.2">
      <c r="A1500" s="21">
        <v>7085631</v>
      </c>
      <c r="B1500" s="18" t="str">
        <f ca="1">IFERROR(__xludf.DUMMYFUNCTION("GOOGLETRANSLATE(C1014,""en"",""hr"")"),"Držač")</f>
        <v>Držač</v>
      </c>
    </row>
    <row r="1501" spans="1:2" x14ac:dyDescent="0.2">
      <c r="A1501" s="21">
        <v>7085632</v>
      </c>
      <c r="B1501" s="18" t="str">
        <f ca="1">IFERROR(__xludf.DUMMYFUNCTION("GOOGLETRANSLATE(C1061,""en"",""hr"")"),"Držač")</f>
        <v>Držač</v>
      </c>
    </row>
    <row r="1502" spans="1:2" x14ac:dyDescent="0.2">
      <c r="A1502" s="21">
        <v>7086134</v>
      </c>
      <c r="B1502" s="18" t="str">
        <f ca="1">IFERROR(__xludf.DUMMYFUNCTION("GOOGLETRANSLATE(C1368,""en"",""hr"")"),"Straža")</f>
        <v>Straža</v>
      </c>
    </row>
    <row r="1503" spans="1:2" x14ac:dyDescent="0.2">
      <c r="A1503" s="21">
        <v>7086138</v>
      </c>
      <c r="B1503" s="18" t="str">
        <f ca="1">IFERROR(__xludf.DUMMYFUNCTION("GOOGLETRANSLATE(C967,""en"",""hr"")"),"Držač")</f>
        <v>Držač</v>
      </c>
    </row>
    <row r="1504" spans="1:2" x14ac:dyDescent="0.2">
      <c r="A1504" s="21">
        <v>7086278</v>
      </c>
      <c r="B1504" s="18" t="str">
        <f ca="1">IFERROR(__xludf.DUMMYFUNCTION("GOOGLETRANSLATE(C931,""en"",""hr"")"),"Motor")</f>
        <v>Motor</v>
      </c>
    </row>
    <row r="1505" spans="1:2" x14ac:dyDescent="0.2">
      <c r="A1505" s="21">
        <v>7086337</v>
      </c>
      <c r="B1505" s="18" t="str">
        <f ca="1">IFERROR(__xludf.DUMMYFUNCTION("GOOGLETRANSLATE(C973,""en"",""hr"")"),"Kontrolna jedinica")</f>
        <v>Kontrolna jedinica</v>
      </c>
    </row>
    <row r="1506" spans="1:2" x14ac:dyDescent="0.2">
      <c r="A1506" s="21">
        <v>7086374</v>
      </c>
      <c r="B1506" s="18" t="str">
        <f ca="1">IFERROR(__xludf.DUMMYFUNCTION("GOOGLETRANSLATE(C495,""en"",""hr"")"),"Lisnata opruga")</f>
        <v>Lisnata opruga</v>
      </c>
    </row>
    <row r="1507" spans="1:2" x14ac:dyDescent="0.2">
      <c r="A1507" s="21">
        <v>7086608</v>
      </c>
      <c r="B1507" s="18" t="str">
        <f ca="1">IFERROR(__xludf.DUMMYFUNCTION("GOOGLETRANSLATE(C492,""en"",""hr"")"),"Perilica")</f>
        <v>Perilica</v>
      </c>
    </row>
    <row r="1508" spans="1:2" x14ac:dyDescent="0.2">
      <c r="A1508" s="21">
        <v>7086627</v>
      </c>
      <c r="B1508" s="18" t="str">
        <f ca="1">IFERROR(__xludf.DUMMYFUNCTION("GOOGLETRANSLATE(C5560,""en"",""hr"")"),"Držač")</f>
        <v>Držač</v>
      </c>
    </row>
    <row r="1509" spans="1:2" x14ac:dyDescent="0.2">
      <c r="A1509" s="21">
        <v>7086633</v>
      </c>
      <c r="B1509" s="18" t="str">
        <f ca="1">IFERROR(__xludf.DUMMYFUNCTION("GOOGLETRANSLATE(C3601,""en"",""hr"")"),"Theraded šipka")</f>
        <v>Theraded šipka</v>
      </c>
    </row>
    <row r="1510" spans="1:2" x14ac:dyDescent="0.2">
      <c r="A1510" s="21">
        <v>7087028</v>
      </c>
      <c r="B1510" s="18" t="str">
        <f ca="1">IFERROR(__xludf.DUMMYFUNCTION("GOOGLETRANSLATE(C3090,""en"",""hr"")"),"Bočna pregača")</f>
        <v>Bočna pregača</v>
      </c>
    </row>
    <row r="1511" spans="1:2" x14ac:dyDescent="0.2">
      <c r="A1511" s="21">
        <v>7087126</v>
      </c>
      <c r="B1511" s="18" t="str">
        <f ca="1">IFERROR(__xludf.DUMMYFUNCTION("GOOGLETRANSLATE(C5563,""en"",""hr"")"),"Držač")</f>
        <v>Držač</v>
      </c>
    </row>
    <row r="1512" spans="1:2" x14ac:dyDescent="0.2">
      <c r="A1512" s="21">
        <v>7087127</v>
      </c>
      <c r="B1512" s="18" t="str">
        <f ca="1">IFERROR(__xludf.DUMMYFUNCTION("GOOGLETRANSLATE(C5564,""en"",""hr"")"),"Metalni lim")</f>
        <v>Metalni lim</v>
      </c>
    </row>
    <row r="1513" spans="1:2" x14ac:dyDescent="0.2">
      <c r="A1513" s="21">
        <v>7087335</v>
      </c>
      <c r="B1513" s="18" t="str">
        <f ca="1">IFERROR(__xludf.DUMMYFUNCTION("GOOGLETRANSLATE(C5068,""en"",""hr"")"),"Poluga LH otvarač vrata")</f>
        <v>Poluga LH otvarač vrata</v>
      </c>
    </row>
    <row r="1514" spans="1:2" x14ac:dyDescent="0.2">
      <c r="A1514" s="21">
        <v>7087336</v>
      </c>
      <c r="B1514" s="18" t="str">
        <f ca="1">IFERROR(__xludf.DUMMYFUNCTION("GOOGLETRANSLATE(C5098,""en"",""hr"")"),"Poluga RH otvarač vrata")</f>
        <v>Poluga RH otvarač vrata</v>
      </c>
    </row>
    <row r="1515" spans="1:2" x14ac:dyDescent="0.2">
      <c r="A1515" s="21">
        <v>7087502</v>
      </c>
      <c r="B1515" s="18" t="str">
        <f ca="1">IFERROR(__xludf.DUMMYFUNCTION("GOOGLETRANSLATE(C5418,""en"",""hr"")"),"Vozačko sjedalo, lijeva strana - Deluxe")</f>
        <v>Vozačko sjedalo, lijeva strana - Deluxe</v>
      </c>
    </row>
    <row r="1516" spans="1:2" x14ac:dyDescent="0.2">
      <c r="A1516" s="21">
        <v>7087503</v>
      </c>
      <c r="B1516" s="18" t="str">
        <f ca="1">IFERROR(__xludf.DUMMYFUNCTION("GOOGLETRANSLATE(C5417,""en"",""hr"")"),"Sjedalo vozača desno - Deluxe")</f>
        <v>Sjedalo vozača desno - Deluxe</v>
      </c>
    </row>
    <row r="1517" spans="1:2" x14ac:dyDescent="0.2">
      <c r="A1517" s="21">
        <v>7087594</v>
      </c>
      <c r="B1517" s="18" t="str">
        <f ca="1">IFERROR(__xludf.DUMMYFUNCTION("GOOGLETRANSLATE(C1034,""en"",""hr"")"),"Držač")</f>
        <v>Držač</v>
      </c>
    </row>
    <row r="1518" spans="1:2" x14ac:dyDescent="0.2">
      <c r="A1518" s="21">
        <v>7087652</v>
      </c>
      <c r="B1518" s="18" t="str">
        <f ca="1">IFERROR(__xludf.DUMMYFUNCTION("GOOGLETRANSLATE(C5273,""en"",""hr"")"),"Držač")</f>
        <v>Držač</v>
      </c>
    </row>
    <row r="1519" spans="1:2" x14ac:dyDescent="0.2">
      <c r="A1519" s="21">
        <v>7087663</v>
      </c>
      <c r="B1519" s="18" t="str">
        <f ca="1">IFERROR(__xludf.DUMMYFUNCTION("GOOGLETRANSLATE(C2032,""en"",""hr"")"),"Zagrada")</f>
        <v>Zagrada</v>
      </c>
    </row>
    <row r="1520" spans="1:2" x14ac:dyDescent="0.2">
      <c r="A1520" s="21">
        <v>7087685</v>
      </c>
      <c r="B1520" s="18" t="str">
        <f ca="1">IFERROR(__xludf.DUMMYFUNCTION("GOOGLETRANSLATE(C1526,""en"",""hr"")"),"Visokonaponski kabelski kompresor")</f>
        <v>Visokonaponski kabelski kompresor</v>
      </c>
    </row>
    <row r="1521" spans="1:2" x14ac:dyDescent="0.2">
      <c r="A1521" s="21">
        <v>7087717</v>
      </c>
      <c r="B1521" s="18" t="str">
        <f ca="1">IFERROR(__xludf.DUMMYFUNCTION("GOOGLETRANSLATE(C5747,""en"",""hr"")"),"Čahura")</f>
        <v>Čahura</v>
      </c>
    </row>
    <row r="1522" spans="1:2" x14ac:dyDescent="0.2">
      <c r="A1522" s="21">
        <v>7087719</v>
      </c>
      <c r="B1522" s="18" t="str">
        <f ca="1">IFERROR(__xludf.DUMMYFUNCTION("GOOGLETRANSLATE(C5421,""en"",""hr"")"),"Naslon za ruke, lijevi - Deluxe")</f>
        <v>Naslon za ruke, lijevi - Deluxe</v>
      </c>
    </row>
    <row r="1523" spans="1:2" x14ac:dyDescent="0.2">
      <c r="A1523" s="21">
        <v>7087720</v>
      </c>
      <c r="B1523" s="18" t="str">
        <f ca="1">IFERROR(__xludf.DUMMYFUNCTION("GOOGLETRANSLATE(C1095,""en"",""hr"")"),"Komad s navojem")</f>
        <v>Komad s navojem</v>
      </c>
    </row>
    <row r="1524" spans="1:2" x14ac:dyDescent="0.2">
      <c r="A1524" s="21">
        <v>7087722</v>
      </c>
      <c r="B1524" s="18" t="str">
        <f ca="1">IFERROR(__xludf.DUMMYFUNCTION("GOOGLETRANSLATE(C1096,""en"",""hr"")"),"O-prsten")</f>
        <v>O-prsten</v>
      </c>
    </row>
    <row r="1525" spans="1:2" x14ac:dyDescent="0.2">
      <c r="A1525" s="21">
        <v>7087750</v>
      </c>
      <c r="B1525" s="18" t="str">
        <f ca="1">IFERROR(__xludf.DUMMYFUNCTION("GOOGLETRANSLATE(C5423,""en"",""hr"")"),"Navlaka za sjedalo Deluxe - crna")</f>
        <v>Navlaka za sjedalo Deluxe - crna</v>
      </c>
    </row>
    <row r="1526" spans="1:2" x14ac:dyDescent="0.2">
      <c r="A1526" s="21">
        <v>7087803</v>
      </c>
      <c r="B1526" s="18" t="str">
        <f ca="1">IFERROR(__xludf.DUMMYFUNCTION("GOOGLETRANSLATE(C2593,""en"",""hr"")"),"Crijevo")</f>
        <v>Crijevo</v>
      </c>
    </row>
    <row r="1527" spans="1:2" x14ac:dyDescent="0.2">
      <c r="A1527" s="21">
        <v>7087804</v>
      </c>
      <c r="B1527" s="18" t="str">
        <f ca="1">IFERROR(__xludf.DUMMYFUNCTION("GOOGLETRANSLATE(C2797,""en"",""hr"")"),"Hidraulično crijevo")</f>
        <v>Hidraulično crijevo</v>
      </c>
    </row>
    <row r="1528" spans="1:2" x14ac:dyDescent="0.2">
      <c r="A1528" s="21">
        <v>7087805</v>
      </c>
      <c r="B1528" s="18" t="str">
        <f ca="1">IFERROR(__xludf.DUMMYFUNCTION("GOOGLETRANSLATE(C2793,""en"",""hr"")"),"Hidraulično crijevo")</f>
        <v>Hidraulično crijevo</v>
      </c>
    </row>
    <row r="1529" spans="1:2" x14ac:dyDescent="0.2">
      <c r="A1529" s="21">
        <v>7087806</v>
      </c>
      <c r="B1529" s="18" t="str">
        <f ca="1">IFERROR(__xludf.DUMMYFUNCTION("GOOGLETRANSLATE(C2592,""en"",""hr"")"),"Crijevo")</f>
        <v>Crijevo</v>
      </c>
    </row>
    <row r="1530" spans="1:2" x14ac:dyDescent="0.2">
      <c r="A1530" s="21">
        <v>7087808</v>
      </c>
      <c r="B1530" s="18" t="str">
        <f ca="1">IFERROR(__xludf.DUMMYFUNCTION("GOOGLETRANSLATE(C1721,""en"",""hr"")"),"Kutija")</f>
        <v>Kutija</v>
      </c>
    </row>
    <row r="1531" spans="1:2" x14ac:dyDescent="0.2">
      <c r="A1531" s="21">
        <v>7087811</v>
      </c>
      <c r="B1531" s="18" t="str">
        <f ca="1">IFERROR(__xludf.DUMMYFUNCTION("GOOGLETRANSLATE(C1761,""en"",""hr"")"),"Rasterećenje naprezanja")</f>
        <v>Rasterećenje naprezanja</v>
      </c>
    </row>
    <row r="1532" spans="1:2" x14ac:dyDescent="0.2">
      <c r="A1532" s="21">
        <v>7087812</v>
      </c>
      <c r="B1532" s="18" t="str">
        <f ca="1">IFERROR(__xludf.DUMMYFUNCTION("GOOGLETRANSLATE(C1757,""en"",""hr"")"),"Jedinica za podršku")</f>
        <v>Jedinica za podršku</v>
      </c>
    </row>
    <row r="1533" spans="1:2" x14ac:dyDescent="0.2">
      <c r="A1533" s="21">
        <v>7087818</v>
      </c>
      <c r="B1533" s="18" t="str">
        <f ca="1">IFERROR(__xludf.DUMMYFUNCTION("GOOGLETRANSLATE(C1756,""en"",""hr"")"),"Ploča za pričvršćivanje")</f>
        <v>Ploča za pričvršćivanje</v>
      </c>
    </row>
    <row r="1534" spans="1:2" x14ac:dyDescent="0.2">
      <c r="A1534" s="21">
        <v>7087845</v>
      </c>
      <c r="B1534" s="18" t="str">
        <f ca="1">IFERROR(__xludf.DUMMYFUNCTION("GOOGLETRANSLATE(C1760,""en"",""hr"")"),"Rasterećenje naprezanja")</f>
        <v>Rasterećenje naprezanja</v>
      </c>
    </row>
    <row r="1535" spans="1:2" x14ac:dyDescent="0.2">
      <c r="A1535" s="21">
        <v>7087909</v>
      </c>
      <c r="B1535" s="18" t="str">
        <f ca="1">IFERROR(__xludf.DUMMYFUNCTION("GOOGLETRANSLATE(C1917,""en"",""hr"")"),"Metalni lim")</f>
        <v>Metalni lim</v>
      </c>
    </row>
    <row r="1536" spans="1:2" x14ac:dyDescent="0.2">
      <c r="A1536" s="21">
        <v>7087969</v>
      </c>
      <c r="B1536" s="18" t="str">
        <f ca="1">IFERROR(__xludf.DUMMYFUNCTION("GOOGLETRANSLATE(C1715,""en"",""hr"")"),"Kabel i utičnica")</f>
        <v>Kabel i utičnica</v>
      </c>
    </row>
    <row r="1537" spans="1:2" x14ac:dyDescent="0.2">
      <c r="A1537" s="21">
        <v>7088103</v>
      </c>
      <c r="B1537" s="18" t="str">
        <f ca="1">IFERROR(__xludf.DUMMYFUNCTION("GOOGLETRANSLATE(C2983,""en"",""hr"")"),"Hidraulično crijevo")</f>
        <v>Hidraulično crijevo</v>
      </c>
    </row>
    <row r="1538" spans="1:2" x14ac:dyDescent="0.2">
      <c r="A1538" s="21">
        <v>7088104</v>
      </c>
      <c r="B1538" s="18" t="str">
        <f ca="1">IFERROR(__xludf.DUMMYFUNCTION("GOOGLETRANSLATE(C2981,""en"",""hr"")"),"Hidraulično crijevo")</f>
        <v>Hidraulično crijevo</v>
      </c>
    </row>
    <row r="1539" spans="1:2" x14ac:dyDescent="0.2">
      <c r="A1539" s="21">
        <v>7088130</v>
      </c>
      <c r="B1539" s="18" t="str">
        <f ca="1">IFERROR(__xludf.DUMMYFUNCTION("GOOGLETRANSLATE(C4271,""en"",""hr"")"),"Deflektor")</f>
        <v>Deflektor</v>
      </c>
    </row>
    <row r="1540" spans="1:2" x14ac:dyDescent="0.2">
      <c r="A1540" s="21">
        <v>7088132</v>
      </c>
      <c r="B1540" s="18" t="str">
        <f ca="1">IFERROR(__xludf.DUMMYFUNCTION("GOOGLETRANSLATE(C4274,""en"",""hr"")"),"Lančana zavjesa kpl.")</f>
        <v>Lančana zavjesa kpl.</v>
      </c>
    </row>
    <row r="1541" spans="1:2" x14ac:dyDescent="0.2">
      <c r="A1541" s="21">
        <v>7088134</v>
      </c>
      <c r="B1541" s="18" t="str">
        <f ca="1">IFERROR(__xludf.DUMMYFUNCTION("GOOGLETRANSLATE(C4269,""en"",""hr"")"),"Deflektor cpl.")</f>
        <v>Deflektor cpl.</v>
      </c>
    </row>
    <row r="1542" spans="1:2" x14ac:dyDescent="0.2">
      <c r="A1542" s="21">
        <v>7088170</v>
      </c>
      <c r="B1542" s="18" t="str">
        <f ca="1">IFERROR(__xludf.DUMMYFUNCTION("GOOGLETRANSLATE(C4283,""en"",""hr"")"),"Držač za lanac")</f>
        <v>Držač za lanac</v>
      </c>
    </row>
    <row r="1543" spans="1:2" x14ac:dyDescent="0.2">
      <c r="A1543" s="21">
        <v>7088438</v>
      </c>
      <c r="B1543" s="18" t="str">
        <f ca="1">IFERROR(__xludf.DUMMYFUNCTION("GOOGLETRANSLATE(C2353,""en"",""hr"")"),"Cijev")</f>
        <v>Cijev</v>
      </c>
    </row>
    <row r="1544" spans="1:2" x14ac:dyDescent="0.2">
      <c r="A1544" s="21">
        <v>7088673</v>
      </c>
      <c r="B1544" s="18" t="str">
        <f ca="1">IFERROR(__xludf.DUMMYFUNCTION("GOOGLETRANSLATE(C2237,""en"",""hr"")"),"Nosač držača četke")</f>
        <v>Nosač držača četke</v>
      </c>
    </row>
    <row r="1545" spans="1:2" x14ac:dyDescent="0.2">
      <c r="A1545" s="21">
        <v>7088676</v>
      </c>
      <c r="B1545" s="18" t="str">
        <f ca="1">IFERROR(__xludf.DUMMYFUNCTION("GOOGLETRANSLATE(C2240,""en"",""hr"")"),"Držač")</f>
        <v>Držač</v>
      </c>
    </row>
    <row r="1546" spans="1:2" x14ac:dyDescent="0.2">
      <c r="A1546" s="21">
        <v>7088715</v>
      </c>
      <c r="B1546" s="18" t="str">
        <f ca="1">IFERROR(__xludf.DUMMYFUNCTION("GOOGLETRANSLATE(C2291,""en"",""hr"")"),"Hidraulički cilindar")</f>
        <v>Hidraulički cilindar</v>
      </c>
    </row>
    <row r="1547" spans="1:2" x14ac:dyDescent="0.2">
      <c r="A1547" s="21">
        <v>7088718</v>
      </c>
      <c r="B1547" s="18" t="str">
        <f ca="1">IFERROR(__xludf.DUMMYFUNCTION("GOOGLETRANSLATE(C3539,""en"",""hr"")"),"brtva")</f>
        <v>brtva</v>
      </c>
    </row>
    <row r="1548" spans="1:2" x14ac:dyDescent="0.2">
      <c r="A1548" s="21">
        <v>7088891</v>
      </c>
      <c r="B1548" s="18" t="str">
        <f ca="1">IFERROR(__xludf.DUMMYFUNCTION("GOOGLETRANSLATE(C2296,""en"",""hr"")"),"Nosač za pojačanje, lijevo")</f>
        <v>Nosač za pojačanje, lijevo</v>
      </c>
    </row>
    <row r="1549" spans="1:2" x14ac:dyDescent="0.2">
      <c r="A1549" s="21">
        <v>7088892</v>
      </c>
      <c r="B1549" s="18" t="str">
        <f ca="1">IFERROR(__xludf.DUMMYFUNCTION("GOOGLETRANSLATE(C2297,""en"",""hr"")"),"Nosač za pojačanje, desno")</f>
        <v>Nosač za pojačanje, desno</v>
      </c>
    </row>
    <row r="1550" spans="1:2" x14ac:dyDescent="0.2">
      <c r="A1550" s="21">
        <v>7088927</v>
      </c>
      <c r="B1550" s="18" t="str">
        <f ca="1">IFERROR(__xludf.DUMMYFUNCTION("GOOGLETRANSLATE(C2469,""en"",""hr"")"),"Štap")</f>
        <v>Štap</v>
      </c>
    </row>
    <row r="1551" spans="1:2" x14ac:dyDescent="0.2">
      <c r="A1551" s="21">
        <v>7088958</v>
      </c>
      <c r="B1551" s="18" t="str">
        <f ca="1">IFERROR(__xludf.DUMMYFUNCTION("GOOGLETRANSLATE(C4772,""en"",""hr"")"),"Držač")</f>
        <v>Držač</v>
      </c>
    </row>
    <row r="1552" spans="1:2" x14ac:dyDescent="0.2">
      <c r="A1552" s="21">
        <v>7088971</v>
      </c>
      <c r="B1552" s="18" t="str">
        <f ca="1">IFERROR(__xludf.DUMMYFUNCTION("GOOGLETRANSLATE(C3329,""en"",""hr"")"),"Potporni blok")</f>
        <v>Potporni blok</v>
      </c>
    </row>
    <row r="1553" spans="1:2" x14ac:dyDescent="0.2">
      <c r="A1553" s="21">
        <v>7088972</v>
      </c>
      <c r="B1553" s="18" t="str">
        <f ca="1">IFERROR(__xludf.DUMMYFUNCTION("GOOGLETRANSLATE(C3330,""en"",""hr"")"),"Čahura")</f>
        <v>Čahura</v>
      </c>
    </row>
    <row r="1554" spans="1:2" x14ac:dyDescent="0.2">
      <c r="A1554" s="21">
        <v>7089021</v>
      </c>
      <c r="B1554" s="18" t="str">
        <f ca="1">IFERROR(__xludf.DUMMYFUNCTION("GOOGLETRANSLATE(C3283,""en"",""hr"")"),"Konzola")</f>
        <v>Konzola</v>
      </c>
    </row>
    <row r="1555" spans="1:2" x14ac:dyDescent="0.2">
      <c r="A1555" s="21">
        <v>7089039</v>
      </c>
      <c r="B1555" s="18" t="str">
        <f ca="1">IFERROR(__xludf.DUMMYFUNCTION("GOOGLETRANSLATE(C3326,""en"",""hr"")"),"Gumena brtva")</f>
        <v>Gumena brtva</v>
      </c>
    </row>
    <row r="1556" spans="1:2" x14ac:dyDescent="0.2">
      <c r="A1556" s="21">
        <v>7089118</v>
      </c>
      <c r="B1556" s="18" t="str">
        <f ca="1">IFERROR(__xludf.DUMMYFUNCTION("GOOGLETRANSLATE(C3327,""en"",""hr"")"),"Stezna traka")</f>
        <v>Stezna traka</v>
      </c>
    </row>
    <row r="1557" spans="1:2" x14ac:dyDescent="0.2">
      <c r="A1557" s="21">
        <v>7089126</v>
      </c>
      <c r="B1557" s="18" t="str">
        <f ca="1">IFERROR(__xludf.DUMMYFUNCTION("GOOGLETRANSLATE(C3328,""en"",""hr"")"),"Stezna traka")</f>
        <v>Stezna traka</v>
      </c>
    </row>
    <row r="1558" spans="1:2" x14ac:dyDescent="0.2">
      <c r="A1558" s="21">
        <v>7089195</v>
      </c>
      <c r="B1558" s="18" t="str">
        <f ca="1">IFERROR(__xludf.DUMMYFUNCTION("GOOGLETRANSLATE(C6274,""en"",""hr"")"),"Ožičenje (+CH)")</f>
        <v>Ožičenje (+CH)</v>
      </c>
    </row>
    <row r="1559" spans="1:2" x14ac:dyDescent="0.2">
      <c r="A1559" s="21">
        <v>7089456</v>
      </c>
      <c r="B1559" s="18" t="str">
        <f ca="1">IFERROR(__xludf.DUMMYFUNCTION("GOOGLETRANSLATE(C2307,""en"",""hr"")"),"Cijev")</f>
        <v>Cijev</v>
      </c>
    </row>
    <row r="1560" spans="1:2" x14ac:dyDescent="0.2">
      <c r="A1560" s="21">
        <v>7089458</v>
      </c>
      <c r="B1560" s="18" t="str">
        <f ca="1">IFERROR(__xludf.DUMMYFUNCTION("GOOGLETRANSLATE(C2306,""en"",""hr"")"),"Cijev")</f>
        <v>Cijev</v>
      </c>
    </row>
    <row r="1561" spans="1:2" x14ac:dyDescent="0.2">
      <c r="A1561" s="21">
        <v>7089459</v>
      </c>
      <c r="B1561" s="18" t="str">
        <f ca="1">IFERROR(__xludf.DUMMYFUNCTION("GOOGLETRANSLATE(C2308,""en"",""hr"")"),"Cijev")</f>
        <v>Cijev</v>
      </c>
    </row>
    <row r="1562" spans="1:2" x14ac:dyDescent="0.2">
      <c r="A1562" s="21">
        <v>7089460</v>
      </c>
      <c r="B1562" s="18" t="str">
        <f ca="1">IFERROR(__xludf.DUMMYFUNCTION("GOOGLETRANSLATE(C2309,""en"",""hr"")"),"Cijev")</f>
        <v>Cijev</v>
      </c>
    </row>
    <row r="1563" spans="1:2" x14ac:dyDescent="0.2">
      <c r="A1563" s="21">
        <v>7089528</v>
      </c>
      <c r="B1563" s="18" t="str">
        <f ca="1">IFERROR(__xludf.DUMMYFUNCTION("GOOGLETRANSLATE(C2266,""en"",""hr"")"),"Amortizer")</f>
        <v>Amortizer</v>
      </c>
    </row>
    <row r="1564" spans="1:2" x14ac:dyDescent="0.2">
      <c r="A1564" s="21">
        <v>7089733</v>
      </c>
      <c r="B1564" s="18" t="str">
        <f ca="1">IFERROR(__xludf.DUMMYFUNCTION("GOOGLETRANSLATE(C3334,""en"",""hr"")"),"Čahura")</f>
        <v>Čahura</v>
      </c>
    </row>
    <row r="1565" spans="1:2" x14ac:dyDescent="0.2">
      <c r="A1565" s="21">
        <v>7089736</v>
      </c>
      <c r="B1565" s="18" t="str">
        <f ca="1">IFERROR(__xludf.DUMMYFUNCTION("GOOGLETRANSLATE(C3335,""en"",""hr"")"),"Držač")</f>
        <v>Držač</v>
      </c>
    </row>
    <row r="1566" spans="1:2" x14ac:dyDescent="0.2">
      <c r="A1566" s="21">
        <v>7089743</v>
      </c>
      <c r="B1566" s="18" t="str">
        <f ca="1">IFERROR(__xludf.DUMMYFUNCTION("GOOGLETRANSLATE(C2334,""en"",""hr"")"),"Priključak crijeva")</f>
        <v>Priključak crijeva</v>
      </c>
    </row>
    <row r="1567" spans="1:2" x14ac:dyDescent="0.2">
      <c r="A1567" s="21">
        <v>7089781</v>
      </c>
      <c r="B1567" s="18" t="str">
        <f ca="1">IFERROR(__xludf.DUMMYFUNCTION("GOOGLETRANSLATE(C3338,""en"",""hr"")"),"Pregača")</f>
        <v>Pregača</v>
      </c>
    </row>
    <row r="1568" spans="1:2" x14ac:dyDescent="0.2">
      <c r="A1568" s="21">
        <v>7089866</v>
      </c>
      <c r="B1568" s="18" t="str">
        <f ca="1">IFERROR(__xludf.DUMMYFUNCTION("GOOGLETRANSLATE(C2305,""en"",""hr"")"),"Cijev")</f>
        <v>Cijev</v>
      </c>
    </row>
    <row r="1569" spans="1:2" x14ac:dyDescent="0.2">
      <c r="A1569" s="21">
        <v>7089996</v>
      </c>
      <c r="B1569" s="18" t="str">
        <f ca="1">IFERROR(__xludf.DUMMYFUNCTION("GOOGLETRANSLATE(C2225,""en"",""hr"")"),"Držač čekinja")</f>
        <v>Držač čekinja</v>
      </c>
    </row>
    <row r="1570" spans="1:2" x14ac:dyDescent="0.2">
      <c r="A1570" s="21">
        <v>7090103</v>
      </c>
      <c r="B1570" s="18" t="str">
        <f ca="1">IFERROR(__xludf.DUMMYFUNCTION("GOOGLETRANSLATE(C2317,""en"",""hr"")"),"Držač")</f>
        <v>Držač</v>
      </c>
    </row>
    <row r="1571" spans="1:2" x14ac:dyDescent="0.2">
      <c r="A1571" s="21">
        <v>7090139</v>
      </c>
      <c r="B1571" s="18" t="str">
        <f ca="1">IFERROR(__xludf.DUMMYFUNCTION("GOOGLETRANSLATE(C2310,""en"",""hr"")"),"Cijev")</f>
        <v>Cijev</v>
      </c>
    </row>
    <row r="1572" spans="1:2" x14ac:dyDescent="0.2">
      <c r="A1572" s="21">
        <v>7090298</v>
      </c>
      <c r="B1572" s="18" t="str">
        <f ca="1">IFERROR(__xludf.DUMMYFUNCTION("GOOGLETRANSLATE(C6271,""en"",""hr"")"),"Kabelski svežanj (+CA)")</f>
        <v>Kabelski svežanj (+CA)</v>
      </c>
    </row>
    <row r="1573" spans="1:2" x14ac:dyDescent="0.2">
      <c r="A1573" s="21">
        <v>7090850</v>
      </c>
      <c r="B1573" s="18" t="str">
        <f ca="1">IFERROR(__xludf.DUMMYFUNCTION("GOOGLETRANSLATE(C3296,""en"",""hr"")"),"Ruka za njihanje")</f>
        <v>Ruka za njihanje</v>
      </c>
    </row>
    <row r="1574" spans="1:2" x14ac:dyDescent="0.2">
      <c r="A1574" s="21">
        <v>7090853</v>
      </c>
      <c r="B1574" s="18" t="str">
        <f ca="1">IFERROR(__xludf.DUMMYFUNCTION("GOOGLETRANSLATE(C3297,""en"",""hr"")"),"Ruka za njihanje")</f>
        <v>Ruka za njihanje</v>
      </c>
    </row>
    <row r="1575" spans="1:2" x14ac:dyDescent="0.2">
      <c r="A1575" s="21">
        <v>7091194</v>
      </c>
      <c r="B1575" s="18" t="str">
        <f ca="1">IFERROR(__xludf.DUMMYFUNCTION("GOOGLETRANSLATE(C4280,""en"",""hr"")"),"Deflektor ojačan")</f>
        <v>Deflektor ojačan</v>
      </c>
    </row>
    <row r="1576" spans="1:2" x14ac:dyDescent="0.2">
      <c r="A1576" s="21">
        <v>7091350</v>
      </c>
      <c r="B1576" s="18" t="str">
        <f ca="1">IFERROR(__xludf.DUMMYFUNCTION("GOOGLETRANSLATE(C493,""en"",""hr"")"),"Razmaknica")</f>
        <v>Razmaknica</v>
      </c>
    </row>
    <row r="1577" spans="1:2" x14ac:dyDescent="0.2">
      <c r="A1577" s="21">
        <v>7091514</v>
      </c>
      <c r="B1577" s="18" t="str">
        <f ca="1">IFERROR(__xludf.DUMMYFUNCTION("GOOGLETRANSLATE(C2100,""en"",""hr"")"),"Čahura")</f>
        <v>Čahura</v>
      </c>
    </row>
    <row r="1578" spans="1:2" x14ac:dyDescent="0.2">
      <c r="A1578" s="21">
        <v>7091560</v>
      </c>
      <c r="B1578" s="18" t="str">
        <f ca="1">IFERROR(__xludf.DUMMYFUNCTION("GOOGLETRANSLATE(C496,""en"",""hr"")"),"Čuvar Assy")</f>
        <v>Čuvar Assy</v>
      </c>
    </row>
    <row r="1579" spans="1:2" x14ac:dyDescent="0.2">
      <c r="A1579" s="21">
        <v>7091814</v>
      </c>
      <c r="B1579" s="18" t="str">
        <f ca="1">IFERROR(__xludf.DUMMYFUNCTION("GOOGLETRANSLATE(C3095,""en"",""hr"")"),"Usisna pokrivna ploča za usta")</f>
        <v>Usisna pokrivna ploča za usta</v>
      </c>
    </row>
    <row r="1580" spans="1:2" x14ac:dyDescent="0.2">
      <c r="A1580" s="21">
        <v>7091825</v>
      </c>
      <c r="B1580" s="18" t="str">
        <f ca="1">IFERROR(__xludf.DUMMYFUNCTION("GOOGLETRANSLATE(C3111,""en"",""hr"")"),"režanj")</f>
        <v>režanj</v>
      </c>
    </row>
    <row r="1581" spans="1:2" x14ac:dyDescent="0.2">
      <c r="A1581" s="21">
        <v>7092274</v>
      </c>
      <c r="B1581" s="18" t="str">
        <f ca="1">IFERROR(__xludf.DUMMYFUNCTION("GOOGLETRANSLATE(C498,""en"",""hr"")"),"Opruga za autobuse")</f>
        <v>Opruga za autobuse</v>
      </c>
    </row>
    <row r="1582" spans="1:2" x14ac:dyDescent="0.2">
      <c r="A1582" s="21">
        <v>7092345</v>
      </c>
      <c r="B1582" s="18" t="str">
        <f ca="1">IFERROR(__xludf.DUMMYFUNCTION("GOOGLETRANSLATE(C3569,""en"",""hr"")"),"Spojka za crijevo s ograničavačem")</f>
        <v>Spojka za crijevo s ograničavačem</v>
      </c>
    </row>
    <row r="1583" spans="1:2" x14ac:dyDescent="0.2">
      <c r="A1583" s="21">
        <v>7092377</v>
      </c>
      <c r="B1583" s="18" t="str">
        <f ca="1">IFERROR(__xludf.DUMMYFUNCTION("GOOGLETRANSLATE(C3092,""en"",""hr"")"),"Usisna usta")</f>
        <v>Usisna usta</v>
      </c>
    </row>
    <row r="1584" spans="1:2" x14ac:dyDescent="0.2">
      <c r="A1584" s="21">
        <v>7092757</v>
      </c>
      <c r="B1584" s="18" t="str">
        <f ca="1">IFERROR(__xludf.DUMMYFUNCTION("GOOGLETRANSLATE(C5173,""en"",""hr"")"),"Rešetka")</f>
        <v>Rešetka</v>
      </c>
    </row>
    <row r="1585" spans="1:2" x14ac:dyDescent="0.2">
      <c r="A1585" s="21">
        <v>7092761</v>
      </c>
      <c r="B1585" s="18" t="str">
        <f ca="1">IFERROR(__xludf.DUMMYFUNCTION("GOOGLETRANSLATE(C5174,""en"",""hr"")"),"Podloga za filter")</f>
        <v>Podloga za filter</v>
      </c>
    </row>
    <row r="1586" spans="1:2" x14ac:dyDescent="0.2">
      <c r="A1586" s="21">
        <v>7092784</v>
      </c>
      <c r="B1586" s="18" t="str">
        <f ca="1">IFERROR(__xludf.DUMMYFUNCTION("GOOGLETRANSLATE(C5164,""en"",""hr"")"),"Neto")</f>
        <v>Neto</v>
      </c>
    </row>
    <row r="1587" spans="1:2" x14ac:dyDescent="0.2">
      <c r="A1587" s="21">
        <v>7092808</v>
      </c>
      <c r="B1587" s="18" t="str">
        <f ca="1">IFERROR(__xludf.DUMMYFUNCTION("GOOGLETRANSLATE(C2076,""en"",""hr"")"),"Držač")</f>
        <v>Držač</v>
      </c>
    </row>
    <row r="1588" spans="1:2" x14ac:dyDescent="0.2">
      <c r="A1588" s="21">
        <v>7093104</v>
      </c>
      <c r="B1588" s="18" t="str">
        <f ca="1">IFERROR(__xludf.DUMMYFUNCTION("GOOGLETRANSLATE(C3420,""en"",""hr"")"),"Zaštita")</f>
        <v>Zaštita</v>
      </c>
    </row>
    <row r="1589" spans="1:2" x14ac:dyDescent="0.2">
      <c r="A1589" s="21">
        <v>7093110</v>
      </c>
      <c r="B1589" s="18" t="str">
        <f ca="1">IFERROR(__xludf.DUMMYFUNCTION("GOOGLETRANSLATE(C2304,""en"",""hr"")"),"Čahura")</f>
        <v>Čahura</v>
      </c>
    </row>
    <row r="1590" spans="1:2" x14ac:dyDescent="0.2">
      <c r="A1590" s="21">
        <v>7093242</v>
      </c>
      <c r="B1590" s="18" t="str">
        <f ca="1">IFERROR(__xludf.DUMMYFUNCTION("GOOGLETRANSLATE(C2083,""en"",""hr"")"),"Klipnjača")</f>
        <v>Klipnjača</v>
      </c>
    </row>
    <row r="1591" spans="1:2" x14ac:dyDescent="0.2">
      <c r="A1591" s="21">
        <v>7093247</v>
      </c>
      <c r="B1591" s="18" t="str">
        <f ca="1">IFERROR(__xludf.DUMMYFUNCTION("GOOGLETRANSLATE(C2081,""en"",""hr"")"),"Potpora motora LH")</f>
        <v>Potpora motora LH</v>
      </c>
    </row>
    <row r="1592" spans="1:2" x14ac:dyDescent="0.2">
      <c r="A1592" s="21">
        <v>7093258</v>
      </c>
      <c r="B1592" s="18" t="str">
        <f ca="1">IFERROR(__xludf.DUMMYFUNCTION("GOOGLETRANSLATE(C2080,""en"",""hr"")"),"Oslonac motora RH")</f>
        <v>Oslonac motora RH</v>
      </c>
    </row>
    <row r="1593" spans="1:2" x14ac:dyDescent="0.2">
      <c r="A1593" s="21">
        <v>7093262</v>
      </c>
      <c r="B1593" s="18" t="str">
        <f ca="1">IFERROR(__xludf.DUMMYFUNCTION("GOOGLETRANSLATE(C2095,""en"",""hr"")"),"Upravljačka konzola LH")</f>
        <v>Upravljačka konzola LH</v>
      </c>
    </row>
    <row r="1594" spans="1:2" x14ac:dyDescent="0.2">
      <c r="A1594" s="21">
        <v>7093263</v>
      </c>
      <c r="B1594" s="18" t="str">
        <f ca="1">IFERROR(__xludf.DUMMYFUNCTION("GOOGLETRANSLATE(C2096,""en"",""hr"")"),"Upravljačka konzola RH")</f>
        <v>Upravljačka konzola RH</v>
      </c>
    </row>
    <row r="1595" spans="1:2" x14ac:dyDescent="0.2">
      <c r="A1595" s="21">
        <v>7093287</v>
      </c>
      <c r="B1595" s="18" t="str">
        <f ca="1">IFERROR(__xludf.DUMMYFUNCTION("GOOGLETRANSLATE(C2079,""en"",""hr"")"),"Šipka za ekspanziju")</f>
        <v>Šipka za ekspanziju</v>
      </c>
    </row>
    <row r="1596" spans="1:2" x14ac:dyDescent="0.2">
      <c r="A1596" s="21">
        <v>7093288</v>
      </c>
      <c r="B1596" s="18" t="str">
        <f ca="1">IFERROR(__xludf.DUMMYFUNCTION("GOOGLETRANSLATE(C2078,""en"",""hr"")"),"Šipka za ekspanziju")</f>
        <v>Šipka za ekspanziju</v>
      </c>
    </row>
    <row r="1597" spans="1:2" x14ac:dyDescent="0.2">
      <c r="A1597" s="21">
        <v>7094172</v>
      </c>
      <c r="B1597" s="18" t="str">
        <f ca="1">IFERROR(__xludf.DUMMYFUNCTION("GOOGLETRANSLATE(C2092,""en"",""hr"")"),"Podrška LH")</f>
        <v>Podrška LH</v>
      </c>
    </row>
    <row r="1598" spans="1:2" x14ac:dyDescent="0.2">
      <c r="A1598" s="21">
        <v>7094173</v>
      </c>
      <c r="B1598" s="18" t="str">
        <f ca="1">IFERROR(__xludf.DUMMYFUNCTION("GOOGLETRANSLATE(C2091,""en"",""hr"")"),"Podrška RH")</f>
        <v>Podrška RH</v>
      </c>
    </row>
    <row r="1599" spans="1:2" x14ac:dyDescent="0.2">
      <c r="A1599" s="21">
        <v>7094210</v>
      </c>
      <c r="B1599" s="18" t="str">
        <f ca="1">IFERROR(__xludf.DUMMYFUNCTION("GOOGLETRANSLATE(C3683,""en"",""hr"")"),"podrška")</f>
        <v>podrška</v>
      </c>
    </row>
    <row r="1600" spans="1:2" x14ac:dyDescent="0.2">
      <c r="A1600" s="21">
        <v>7094380</v>
      </c>
      <c r="B1600" s="18" t="str">
        <f ca="1">IFERROR(__xludf.DUMMYFUNCTION("GOOGLETRANSLATE(C1899,""en"",""hr"")"),"Bočne četke kpl. lijevo i desno")</f>
        <v>Bočne četke kpl. lijevo i desno</v>
      </c>
    </row>
    <row r="1601" spans="1:2" x14ac:dyDescent="0.2">
      <c r="A1601" s="21">
        <v>7094704</v>
      </c>
      <c r="B1601" s="18" t="str">
        <f ca="1">IFERROR(__xludf.DUMMYFUNCTION("GOOGLETRANSLATE(C3624,""en"",""hr"")"),"Stezni nosač")</f>
        <v>Stezni nosač</v>
      </c>
    </row>
    <row r="1602" spans="1:2" x14ac:dyDescent="0.2">
      <c r="A1602" s="21">
        <v>7094952</v>
      </c>
      <c r="B1602" s="18" t="str">
        <f ca="1">IFERROR(__xludf.DUMMYFUNCTION("GOOGLETRANSLATE(C2152,""en"",""hr"")"),"Kontrolni blok")</f>
        <v>Kontrolni blok</v>
      </c>
    </row>
    <row r="1603" spans="1:2" x14ac:dyDescent="0.2">
      <c r="A1603" s="21">
        <v>7094953</v>
      </c>
      <c r="B1603" s="18" t="str">
        <f ca="1">IFERROR(__xludf.DUMMYFUNCTION("GOOGLETRANSLATE(C2153,""en"",""hr"")"),"Kontrolni blok")</f>
        <v>Kontrolni blok</v>
      </c>
    </row>
    <row r="1604" spans="1:2" x14ac:dyDescent="0.2">
      <c r="A1604" s="21">
        <v>7094954</v>
      </c>
      <c r="B1604" s="18" t="str">
        <f ca="1">IFERROR(__xludf.DUMMYFUNCTION("GOOGLETRANSLATE(C2154,""en"",""hr"")"),"Kontrolni blok")</f>
        <v>Kontrolni blok</v>
      </c>
    </row>
    <row r="1605" spans="1:2" x14ac:dyDescent="0.2">
      <c r="A1605" s="21">
        <v>7094955</v>
      </c>
      <c r="B1605" s="18" t="str">
        <f ca="1">IFERROR(__xludf.DUMMYFUNCTION("GOOGLETRANSLATE(C2155,""en"",""hr"")"),"Kontrolni blok")</f>
        <v>Kontrolni blok</v>
      </c>
    </row>
    <row r="1606" spans="1:2" x14ac:dyDescent="0.2">
      <c r="A1606" s="21">
        <v>7095055</v>
      </c>
      <c r="B1606" s="18" t="str">
        <f ca="1">IFERROR(__xludf.DUMMYFUNCTION("GOOGLETRANSLATE(C2069,""en"",""hr"")"),"Proljeće")</f>
        <v>Proljeće</v>
      </c>
    </row>
    <row r="1607" spans="1:2" x14ac:dyDescent="0.2">
      <c r="A1607" s="21">
        <v>7095906</v>
      </c>
      <c r="B1607" s="18" t="str">
        <f ca="1">IFERROR(__xludf.DUMMYFUNCTION("GOOGLETRANSLATE(C2133,""en"",""hr"")"),"Konzola lijevo")</f>
        <v>Konzola lijevo</v>
      </c>
    </row>
    <row r="1608" spans="1:2" x14ac:dyDescent="0.2">
      <c r="A1608" s="21">
        <v>7095907</v>
      </c>
      <c r="B1608" s="18" t="str">
        <f ca="1">IFERROR(__xludf.DUMMYFUNCTION("GOOGLETRANSLATE(C2132,""en"",""hr"")"),"Konzola desno")</f>
        <v>Konzola desno</v>
      </c>
    </row>
    <row r="1609" spans="1:2" x14ac:dyDescent="0.2">
      <c r="A1609" s="21">
        <v>7096404</v>
      </c>
      <c r="B1609" s="18" t="str">
        <f ca="1">IFERROR(__xludf.DUMMYFUNCTION("GOOGLETRANSLATE(C2195,""en"",""hr"")"),"Blok ventila")</f>
        <v>Blok ventila</v>
      </c>
    </row>
    <row r="1610" spans="1:2" x14ac:dyDescent="0.2">
      <c r="A1610" s="21">
        <v>7096879</v>
      </c>
      <c r="B1610" s="18" t="str">
        <f ca="1">IFERROR(__xludf.DUMMYFUNCTION("GOOGLETRANSLATE(C2185,""en"",""hr"")"),"Veza")</f>
        <v>Veza</v>
      </c>
    </row>
    <row r="1611" spans="1:2" x14ac:dyDescent="0.2">
      <c r="A1611" s="21">
        <v>7097044</v>
      </c>
      <c r="B1611" s="18" t="str">
        <f ca="1">IFERROR(__xludf.DUMMYFUNCTION("GOOGLETRANSLATE(C566,""en"",""hr"")"),"Crijevo")</f>
        <v>Crijevo</v>
      </c>
    </row>
    <row r="1612" spans="1:2" x14ac:dyDescent="0.2">
      <c r="A1612" s="21" t="s">
        <v>1271</v>
      </c>
      <c r="B1612" s="18" t="str">
        <f ca="1">IFERROR(__xludf.DUMMYFUNCTION("GOOGLETRANSLATE(C4004,""en"",""hr"")"),"Kuglični ležaj")</f>
        <v>Kuglični ležaj</v>
      </c>
    </row>
    <row r="1613" spans="1:2" x14ac:dyDescent="0.2">
      <c r="A1613" s="21" t="s">
        <v>1179</v>
      </c>
      <c r="B1613" s="18" t="str">
        <f ca="1">IFERROR(__xludf.DUMMYFUNCTION("GOOGLETRANSLATE(C3792,""en"",""hr"")"),"Konusni valjkasti ležaj")</f>
        <v>Konusni valjkasti ležaj</v>
      </c>
    </row>
    <row r="1614" spans="1:2" x14ac:dyDescent="0.2">
      <c r="A1614" s="21" t="s">
        <v>1198</v>
      </c>
      <c r="B1614" s="18" t="str">
        <f ca="1">IFERROR(__xludf.DUMMYFUNCTION("GOOGLETRANSLATE(C3813,""en"",""hr"")"),"Konusni valjkasti ležaj")</f>
        <v>Konusni valjkasti ležaj</v>
      </c>
    </row>
    <row r="1615" spans="1:2" x14ac:dyDescent="0.2">
      <c r="A1615" s="21" t="s">
        <v>1343</v>
      </c>
      <c r="B1615" s="18" t="str">
        <f ca="1">IFERROR(__xludf.DUMMYFUNCTION("GOOGLETRANSLATE(C4235,""en"",""hr"")"),"Utorna matica")</f>
        <v>Utorna matica</v>
      </c>
    </row>
    <row r="1616" spans="1:2" x14ac:dyDescent="0.2">
      <c r="A1616" s="21" t="s">
        <v>286</v>
      </c>
      <c r="B1616" s="18" t="str">
        <f ca="1">IFERROR(__xludf.DUMMYFUNCTION("GOOGLETRANSLATE(C631,""en"",""hr"")"),"Matica osovine")</f>
        <v>Matica osovine</v>
      </c>
    </row>
    <row r="1617" spans="1:2" x14ac:dyDescent="0.2">
      <c r="A1617" s="21" t="s">
        <v>346</v>
      </c>
      <c r="B1617" s="18" t="str">
        <f ca="1">IFERROR(__xludf.DUMMYFUNCTION("GOOGLETRANSLATE(C785,""en"",""hr"")"),"Matica osovine")</f>
        <v>Matica osovine</v>
      </c>
    </row>
    <row r="1618" spans="1:2" x14ac:dyDescent="0.2">
      <c r="A1618" s="21" t="s">
        <v>347</v>
      </c>
      <c r="B1618" s="18" t="str">
        <f ca="1">IFERROR(__xludf.DUMMYFUNCTION("GOOGLETRANSLATE(C786,""en"",""hr"")"),"Podloška za zaključavanje")</f>
        <v>Podloška za zaključavanje</v>
      </c>
    </row>
    <row r="1619" spans="1:2" x14ac:dyDescent="0.2">
      <c r="A1619" s="21" t="s">
        <v>284</v>
      </c>
      <c r="B1619" s="18" t="str">
        <f ca="1">IFERROR(__xludf.DUMMYFUNCTION("GOOGLETRANSLATE(C629,""en"",""hr"")"),"Podloška za zaključavanje")</f>
        <v>Podloška za zaključavanje</v>
      </c>
    </row>
    <row r="1620" spans="1:2" x14ac:dyDescent="0.2">
      <c r="A1620" s="21" t="s">
        <v>664</v>
      </c>
      <c r="B1620" s="18" t="str">
        <f ca="1">IFERROR(__xludf.DUMMYFUNCTION("GOOGLETRANSLATE(C2089,""en"",""hr"")"),"Čahura ležaja")</f>
        <v>Čahura ležaja</v>
      </c>
    </row>
    <row r="1621" spans="1:2" x14ac:dyDescent="0.2">
      <c r="A1621" s="21" t="s">
        <v>1000</v>
      </c>
      <c r="B1621" s="18" t="str">
        <f ca="1">IFERROR(__xludf.DUMMYFUNCTION("GOOGLETRANSLATE(C3195,""en"",""hr"")"),"valjak")</f>
        <v>valjak</v>
      </c>
    </row>
    <row r="1622" spans="1:2" x14ac:dyDescent="0.2">
      <c r="A1622" s="21" t="s">
        <v>840</v>
      </c>
      <c r="B1622" s="18" t="str">
        <f ca="1">IFERROR(__xludf.DUMMYFUNCTION("GOOGLETRANSLATE(C2503,""en"",""hr"")"),"Potporne role")</f>
        <v>Potporne role</v>
      </c>
    </row>
    <row r="1623" spans="1:2" x14ac:dyDescent="0.2">
      <c r="A1623" s="21" t="s">
        <v>51</v>
      </c>
      <c r="B1623" s="18" t="str">
        <f ca="1">IFERROR(__xludf.DUMMYFUNCTION("GOOGLETRANSLATE(C82,""en"",""hr"")"),"Ulje mjenjača 4.3L (RGB1) [GEN3/EV3]")</f>
        <v>Ulje mjenjača 4.3L (RGB1) [GEN3/EV3]</v>
      </c>
    </row>
    <row r="1624" spans="1:2" x14ac:dyDescent="0.2">
      <c r="A1624" s="21" t="s">
        <v>52</v>
      </c>
      <c r="B1624" s="18" t="str">
        <f ca="1">IFERROR(__xludf.DUMMYFUNCTION("GOOGLETRANSLATE(C83,""en"",""hr"")"),"Ulje za mjenjač 4,3 L (RGB2) [""6543""]")</f>
        <v>Ulje za mjenjač 4,3 L (RGB2) ["6543"]</v>
      </c>
    </row>
    <row r="1625" spans="1:2" x14ac:dyDescent="0.2">
      <c r="A1625" s="21" t="s">
        <v>1902</v>
      </c>
      <c r="B1625" s="18" t="str">
        <f ca="1">IFERROR(__xludf.DUMMYFUNCTION("GOOGLETRANSLATE(C6632,""en"",""hr"")"),"Mast")</f>
        <v>Mast</v>
      </c>
    </row>
    <row r="1626" spans="1:2" x14ac:dyDescent="0.2">
      <c r="A1626" s="21" t="s">
        <v>2008</v>
      </c>
      <c r="B1626" s="18" t="str">
        <f ca="1">IFERROR(__xludf.DUMMYFUNCTION("GOOGLETRANSLATE(C6807,""en"",""hr"")"),"Naljepnica 25 km/h")</f>
        <v>Naljepnica 25 km/h</v>
      </c>
    </row>
    <row r="1627" spans="1:2" x14ac:dyDescent="0.2">
      <c r="A1627" s="21" t="s">
        <v>2010</v>
      </c>
      <c r="B1627" s="18" t="str">
        <f ca="1">IFERROR(__xludf.DUMMYFUNCTION("GOOGLETRANSLATE(C6809,""en"",""hr"")"),"Naljepnica maksimalne brzine 40km/h")</f>
        <v>Naljepnica maksimalne brzine 40km/h</v>
      </c>
    </row>
    <row r="1628" spans="1:2" x14ac:dyDescent="0.2">
      <c r="A1628" s="21" t="s">
        <v>2014</v>
      </c>
      <c r="B1628" s="18" t="str">
        <f ca="1">IFERROR(__xludf.DUMMYFUNCTION("GOOGLETRANSLATE(C6813,""en"",""hr"")"),"Naljepnica maksimalne brzine 50km/h")</f>
        <v>Naljepnica maksimalne brzine 50km/h</v>
      </c>
    </row>
    <row r="1629" spans="1:2" x14ac:dyDescent="0.2">
      <c r="A1629" s="21" t="s">
        <v>2012</v>
      </c>
      <c r="B1629" s="18" t="str">
        <f ca="1">IFERROR(__xludf.DUMMYFUNCTION("GOOGLETRANSLATE(C6811,""en"",""hr"")"),"Naljepnica maksimalne brzine 45km/h")</f>
        <v>Naljepnica maksimalne brzine 45km/h</v>
      </c>
    </row>
    <row r="1630" spans="1:2" x14ac:dyDescent="0.2">
      <c r="A1630" s="21" t="s">
        <v>2011</v>
      </c>
      <c r="B1630" s="18" t="str">
        <f ca="1">IFERROR(__xludf.DUMMYFUNCTION("GOOGLETRANSLATE(C6810,""en"",""hr"")"),"Naljepnica maksimalne brzine 40km/h")</f>
        <v>Naljepnica maksimalne brzine 40km/h</v>
      </c>
    </row>
    <row r="1631" spans="1:2" x14ac:dyDescent="0.2">
      <c r="A1631" s="21" t="s">
        <v>2013</v>
      </c>
      <c r="B1631" s="18" t="str">
        <f ca="1">IFERROR(__xludf.DUMMYFUNCTION("GOOGLETRANSLATE(C6812,""en"",""hr"")"),"Naljepnica maksimalne brzine 45km/h")</f>
        <v>Naljepnica maksimalne brzine 45km/h</v>
      </c>
    </row>
    <row r="1632" spans="1:2" x14ac:dyDescent="0.2">
      <c r="A1632" s="21" t="s">
        <v>2015</v>
      </c>
      <c r="B1632" s="18" t="str">
        <f ca="1">IFERROR(__xludf.DUMMYFUNCTION("GOOGLETRANSLATE(C6814,""en"",""hr"")"),"Naljepnica maksimalne brzine 50km/h")</f>
        <v>Naljepnica maksimalne brzine 50km/h</v>
      </c>
    </row>
    <row r="1633" spans="1:2" x14ac:dyDescent="0.2">
      <c r="A1633" s="21" t="s">
        <v>2009</v>
      </c>
      <c r="B1633" s="18" t="str">
        <f ca="1">IFERROR(__xludf.DUMMYFUNCTION("GOOGLETRANSLATE(C6808,""en"",""hr"")"),"Naljepnica maksimalne brzine 30 km/h")</f>
        <v>Naljepnica maksimalne brzine 30 km/h</v>
      </c>
    </row>
    <row r="1634" spans="1:2" x14ac:dyDescent="0.2">
      <c r="A1634" s="21" t="s">
        <v>2004</v>
      </c>
      <c r="B1634" s="18" t="str">
        <f ca="1">IFERROR(__xludf.DUMMYFUNCTION("GOOGLETRANSLATE(C6802,""en"",""hr"")"),"Traka upozorenja lijevo")</f>
        <v>Traka upozorenja lijevo</v>
      </c>
    </row>
    <row r="1635" spans="1:2" x14ac:dyDescent="0.2">
      <c r="A1635" s="21" t="s">
        <v>2003</v>
      </c>
      <c r="B1635" s="18" t="str">
        <f ca="1">IFERROR(__xludf.DUMMYFUNCTION("GOOGLETRANSLATE(C6801,""en"",""hr"")"),"Traka upozorenja desno")</f>
        <v>Traka upozorenja desno</v>
      </c>
    </row>
    <row r="1636" spans="1:2" x14ac:dyDescent="0.2">
      <c r="A1636" s="21" t="s">
        <v>2007</v>
      </c>
      <c r="B1636" s="18" t="str">
        <f ca="1">IFERROR(__xludf.DUMMYFUNCTION("GOOGLETRANSLATE(C6805,""en"",""hr"")"),"Folija")</f>
        <v>Folija</v>
      </c>
    </row>
    <row r="1637" spans="1:2" x14ac:dyDescent="0.2">
      <c r="A1637" s="21" t="s">
        <v>2006</v>
      </c>
      <c r="B1637" s="18" t="str">
        <f ca="1">IFERROR(__xludf.DUMMYFUNCTION("GOOGLETRANSLATE(C6804,""en"",""hr"")"),"Folija")</f>
        <v>Folija</v>
      </c>
    </row>
    <row r="1638" spans="1:2" x14ac:dyDescent="0.2">
      <c r="A1638" s="21" t="s">
        <v>1146</v>
      </c>
      <c r="B1638" s="18" t="str">
        <f ca="1">IFERROR(__xludf.DUMMYFUNCTION("GOOGLETRANSLATE(C3709,""en"",""hr"")"),"Pločica za brtvljenje")</f>
        <v>Pločica za brtvljenje</v>
      </c>
    </row>
    <row r="1639" spans="1:2" x14ac:dyDescent="0.2">
      <c r="A1639" s="21" t="s">
        <v>1814</v>
      </c>
      <c r="B1639" s="18" t="str">
        <f ca="1">IFERROR(__xludf.DUMMYFUNCTION("GOOGLETRANSLATE(C6347,""en"",""hr"")"),"Plosnati osigurač")</f>
        <v>Plosnati osigurač</v>
      </c>
    </row>
    <row r="1640" spans="1:2" x14ac:dyDescent="0.2">
      <c r="A1640" s="21" t="s">
        <v>1815</v>
      </c>
      <c r="B1640" s="18" t="str">
        <f ca="1">IFERROR(__xludf.DUMMYFUNCTION("GOOGLETRANSLATE(C6348,""en"",""hr"")"),"Plosnati osigurač")</f>
        <v>Plosnati osigurač</v>
      </c>
    </row>
    <row r="1641" spans="1:2" x14ac:dyDescent="0.2">
      <c r="A1641" s="21" t="s">
        <v>1816</v>
      </c>
      <c r="B1641" s="18" t="str">
        <f ca="1">IFERROR(__xludf.DUMMYFUNCTION("GOOGLETRANSLATE(C6349,""en"",""hr"")"),"Plosnati osigurač")</f>
        <v>Plosnati osigurač</v>
      </c>
    </row>
    <row r="1642" spans="1:2" x14ac:dyDescent="0.2">
      <c r="A1642" s="21" t="s">
        <v>1817</v>
      </c>
      <c r="B1642" s="18" t="str">
        <f ca="1">IFERROR(__xludf.DUMMYFUNCTION("GOOGLETRANSLATE(C6350,""en"",""hr"")"),"Plosnati osigurač")</f>
        <v>Plosnati osigurač</v>
      </c>
    </row>
    <row r="1643" spans="1:2" x14ac:dyDescent="0.2">
      <c r="A1643" s="21" t="s">
        <v>1818</v>
      </c>
      <c r="B1643" s="18" t="str">
        <f ca="1">IFERROR(__xludf.DUMMYFUNCTION("GOOGLETRANSLATE(C6351,""en"",""hr"")"),"Plosnati osigurač")</f>
        <v>Plosnati osigurač</v>
      </c>
    </row>
    <row r="1644" spans="1:2" x14ac:dyDescent="0.2">
      <c r="A1644" s="21" t="s">
        <v>1819</v>
      </c>
      <c r="B1644" s="18" t="str">
        <f ca="1">IFERROR(__xludf.DUMMYFUNCTION("GOOGLETRANSLATE(C6352,""en"",""hr"")"),"Plosnati osigurač")</f>
        <v>Plosnati osigurač</v>
      </c>
    </row>
    <row r="1645" spans="1:2" x14ac:dyDescent="0.2">
      <c r="A1645" s="21" t="s">
        <v>19</v>
      </c>
      <c r="B1645" s="18" t="str">
        <f ca="1">IFERROR(__xludf.DUMMYFUNCTION("GOOGLETRANSLATE(C13,""en"",""hr"")"),"LED svjetlosni indikator")</f>
        <v>LED svjetlosni indikator</v>
      </c>
    </row>
    <row r="1646" spans="1:2" x14ac:dyDescent="0.2">
      <c r="A1646" s="21" t="s">
        <v>15</v>
      </c>
      <c r="B1646" s="18" t="str">
        <f ca="1">IFERROR(__xludf.DUMMYFUNCTION("GOOGLETRANSLATE(C7,""en"",""hr"")"),"LED radno svjetlo")</f>
        <v>LED radno svjetlo</v>
      </c>
    </row>
    <row r="1647" spans="1:2" x14ac:dyDescent="0.2">
      <c r="A1647" s="21" t="s">
        <v>1903</v>
      </c>
      <c r="B1647" s="18" t="str">
        <f ca="1">IFERROR(__xludf.DUMMYFUNCTION("GOOGLETRANSLATE(C6638,""en"",""hr"")"),"Držač")</f>
        <v>Držač</v>
      </c>
    </row>
    <row r="1648" spans="1:2" x14ac:dyDescent="0.2">
      <c r="A1648" s="21" t="s">
        <v>13</v>
      </c>
      <c r="B1648" s="18" t="str">
        <f ca="1">IFERROR(__xludf.DUMMYFUNCTION("GOOGLETRANSLATE(C4,""en"",""hr"")"),"Rotirajuće svijetlo")</f>
        <v>Rotirajuće svijetlo</v>
      </c>
    </row>
    <row r="1649" spans="1:2" x14ac:dyDescent="0.2">
      <c r="A1649" s="21" t="s">
        <v>1820</v>
      </c>
      <c r="B1649" s="18" t="str">
        <f ca="1">IFERROR(__xludf.DUMMYFUNCTION("GOOGLETRANSLATE(C6353,""en"",""hr"")"),"Plosnati osigurač")</f>
        <v>Plosnati osigurač</v>
      </c>
    </row>
    <row r="1650" spans="1:2" x14ac:dyDescent="0.2">
      <c r="A1650" s="21" t="s">
        <v>1804</v>
      </c>
      <c r="B1650" s="18" t="str">
        <f ca="1">IFERROR(__xludf.DUMMYFUNCTION("GOOGLETRANSLATE(C6331,""en"",""hr"")"),"Lažni rukav")</f>
        <v>Lažni rukav</v>
      </c>
    </row>
    <row r="1651" spans="1:2" x14ac:dyDescent="0.2">
      <c r="A1651" s="21" t="s">
        <v>1803</v>
      </c>
      <c r="B1651" s="18" t="str">
        <f ca="1">IFERROR(__xludf.DUMMYFUNCTION("GOOGLETRANSLATE(C6330,""en"",""hr"")"),"Grommet")</f>
        <v>Grommet</v>
      </c>
    </row>
    <row r="1652" spans="1:2" x14ac:dyDescent="0.2">
      <c r="A1652" s="21" t="s">
        <v>76</v>
      </c>
      <c r="B1652" s="18" t="str">
        <f ca="1">IFERROR(__xludf.DUMMYFUNCTION("GOOGLETRANSLATE(C183,""en"",""hr"")"),"Prekidač, Održavanje")</f>
        <v>Prekidač, Održavanje</v>
      </c>
    </row>
    <row r="1653" spans="1:2" x14ac:dyDescent="0.2">
      <c r="A1653" s="21" t="s">
        <v>1806</v>
      </c>
      <c r="B1653" s="18" t="str">
        <f ca="1">IFERROR(__xludf.DUMMYFUNCTION("GOOGLETRANSLATE(C6337,""en"",""hr"")"),"Grommet")</f>
        <v>Grommet</v>
      </c>
    </row>
    <row r="1654" spans="1:2" x14ac:dyDescent="0.2">
      <c r="A1654" s="21" t="s">
        <v>1918</v>
      </c>
      <c r="B1654" s="18" t="str">
        <f ca="1">IFERROR(__xludf.DUMMYFUNCTION("GOOGLETRANSLATE(C6681,""en"",""hr"")"),"Punjač akumulatora")</f>
        <v>Punjač akumulatora</v>
      </c>
    </row>
    <row r="1655" spans="1:2" x14ac:dyDescent="0.2">
      <c r="A1655" s="21" t="s">
        <v>1550</v>
      </c>
      <c r="B1655" s="18" t="str">
        <f ca="1">IFERROR(__xludf.DUMMYFUNCTION("GOOGLETRANSLATE(C5286,""en"",""hr"")"),"Utičnica 2-polna")</f>
        <v>Utičnica 2-polna</v>
      </c>
    </row>
    <row r="1656" spans="1:2" x14ac:dyDescent="0.2">
      <c r="A1656" s="21" t="s">
        <v>1541</v>
      </c>
      <c r="B1656" s="18" t="str">
        <f ca="1">IFERROR(__xludf.DUMMYFUNCTION("GOOGLETRANSLATE(C5238,""en"",""hr"")"),"Čahura kabela")</f>
        <v>Čahura kabela</v>
      </c>
    </row>
    <row r="1657" spans="1:2" x14ac:dyDescent="0.2">
      <c r="A1657" s="21" t="s">
        <v>1056</v>
      </c>
      <c r="B1657" s="18" t="str">
        <f ca="1">IFERROR(__xludf.DUMMYFUNCTION("GOOGLETRANSLATE(C3447,""en"",""hr"")"),"Izolacijsko crijevo")</f>
        <v>Izolacijsko crijevo</v>
      </c>
    </row>
    <row r="1658" spans="1:2" x14ac:dyDescent="0.2">
      <c r="A1658" s="21" t="s">
        <v>1833</v>
      </c>
      <c r="B1658" s="18" t="str">
        <f ca="1">IFERROR(__xludf.DUMMYFUNCTION("GOOGLETRANSLATE(C6407,""en"",""hr"")"),"Baterija")</f>
        <v>Baterija</v>
      </c>
    </row>
    <row r="1659" spans="1:2" x14ac:dyDescent="0.2">
      <c r="A1659" s="21" t="s">
        <v>1811</v>
      </c>
      <c r="B1659" s="18" t="str">
        <f ca="1">IFERROR(__xludf.DUMMYFUNCTION("GOOGLETRANSLATE(C6343,""en"",""hr"")"),"Konektorska ljuska")</f>
        <v>Konektorska ljuska</v>
      </c>
    </row>
    <row r="1660" spans="1:2" x14ac:dyDescent="0.2">
      <c r="A1660" s="21" t="s">
        <v>1813</v>
      </c>
      <c r="B1660" s="18" t="str">
        <f ca="1">IFERROR(__xludf.DUMMYFUNCTION("GOOGLETRANSLATE(C6346,""en"",""hr"")"),"Relej")</f>
        <v>Relej</v>
      </c>
    </row>
    <row r="1661" spans="1:2" x14ac:dyDescent="0.2">
      <c r="A1661" s="21" t="s">
        <v>1574</v>
      </c>
      <c r="B1661" s="18" t="str">
        <f ca="1">IFERROR(__xludf.DUMMYFUNCTION("GOOGLETRANSLATE(C5336,""en"",""hr"")"),"Radio ekran")</f>
        <v>Radio ekran</v>
      </c>
    </row>
    <row r="1662" spans="1:2" x14ac:dyDescent="0.2">
      <c r="A1662" s="21" t="s">
        <v>1573</v>
      </c>
      <c r="B1662" s="18" t="str">
        <f ca="1">IFERROR(__xludf.DUMMYFUNCTION("GOOGLETRANSLATE(C5335,""en"",""hr"")"),"Antena")</f>
        <v>Antena</v>
      </c>
    </row>
    <row r="1663" spans="1:2" x14ac:dyDescent="0.2">
      <c r="A1663" s="21" t="s">
        <v>1572</v>
      </c>
      <c r="B1663" s="18" t="str">
        <f ca="1">IFERROR(__xludf.DUMMYFUNCTION("GOOGLETRANSLATE(C5334,""en"",""hr"")"),"Radio &lt;(&gt;&amp;&lt;)&gt; DAB+")</f>
        <v>Radio &lt;(&gt;&amp;&lt;)&gt; DAB+</v>
      </c>
    </row>
    <row r="1664" spans="1:2" x14ac:dyDescent="0.2">
      <c r="A1664" s="21" t="s">
        <v>1555</v>
      </c>
      <c r="B1664" s="18" t="str">
        <f ca="1">IFERROR(__xludf.DUMMYFUNCTION("GOOGLETRANSLATE(C5296,""en"",""hr"")"),"Radio")</f>
        <v>Radio</v>
      </c>
    </row>
    <row r="1665" spans="1:2" x14ac:dyDescent="0.2">
      <c r="A1665" s="21" t="s">
        <v>1812</v>
      </c>
      <c r="B1665" s="18" t="str">
        <f ca="1">IFERROR(__xludf.DUMMYFUNCTION("GOOGLETRANSLATE(C6344,""en"",""hr"")"),"Konektorska ljuska")</f>
        <v>Konektorska ljuska</v>
      </c>
    </row>
    <row r="1666" spans="1:2" x14ac:dyDescent="0.2">
      <c r="A1666" s="21" t="s">
        <v>1456</v>
      </c>
      <c r="B1666" s="18" t="str">
        <f ca="1">IFERROR(__xludf.DUMMYFUNCTION("GOOGLETRANSLATE(C4771,""en"",""hr"")"),"Prekidač s gumbom ručke")</f>
        <v>Prekidač s gumbom ručke</v>
      </c>
    </row>
    <row r="1667" spans="1:2" x14ac:dyDescent="0.2">
      <c r="A1667" s="21" t="s">
        <v>1560</v>
      </c>
      <c r="B1667" s="18" t="str">
        <f ca="1">IFERROR(__xludf.DUMMYFUNCTION("GOOGLETRANSLATE(C5322,""en"",""hr"")"),"Prekidač - Slijepi poklopac")</f>
        <v>Prekidač - Slijepi poklopac</v>
      </c>
    </row>
    <row r="1668" spans="1:2" x14ac:dyDescent="0.2">
      <c r="A1668" s="21" t="s">
        <v>1845</v>
      </c>
      <c r="B1668" s="18" t="str">
        <f ca="1">IFERROR(__xludf.DUMMYFUNCTION("GOOGLETRANSLATE(C6448,""en"",""hr"")"),"Otpornik")</f>
        <v>Otpornik</v>
      </c>
    </row>
    <row r="1669" spans="1:2" x14ac:dyDescent="0.2">
      <c r="A1669" s="21" t="s">
        <v>1844</v>
      </c>
      <c r="B1669" s="18" t="str">
        <f ca="1">IFERROR(__xludf.DUMMYFUNCTION("GOOGLETRANSLATE(C6447,""en"",""hr"")"),"kombinacija otpora")</f>
        <v>kombinacija otpora</v>
      </c>
    </row>
    <row r="1670" spans="1:2" x14ac:dyDescent="0.2">
      <c r="A1670" s="21" t="s">
        <v>1857</v>
      </c>
      <c r="B1670" s="18" t="str">
        <f ca="1">IFERROR(__xludf.DUMMYFUNCTION("GOOGLETRANSLATE(C6522,""en"",""hr"")"),"Čahura kabela")</f>
        <v>Čahura kabela</v>
      </c>
    </row>
    <row r="1671" spans="1:2" x14ac:dyDescent="0.2">
      <c r="A1671" s="21" t="s">
        <v>16</v>
      </c>
      <c r="B1671" s="18" t="str">
        <f ca="1">IFERROR(__xludf.DUMMYFUNCTION("GOOGLETRANSLATE(C8,""en"",""hr"")"),"LED reflektor")</f>
        <v>LED reflektor</v>
      </c>
    </row>
    <row r="1672" spans="1:2" x14ac:dyDescent="0.2">
      <c r="A1672" s="21" t="s">
        <v>17</v>
      </c>
      <c r="B1672" s="18" t="str">
        <f ca="1">IFERROR(__xludf.DUMMYFUNCTION("GOOGLETRANSLATE(C10,""en"",""hr"")"),"LED kratka svjetla (promet desnom stranom)")</f>
        <v>LED kratka svjetla (promet desnom stranom)</v>
      </c>
    </row>
    <row r="1673" spans="1:2" x14ac:dyDescent="0.2">
      <c r="A1673" s="21" t="s">
        <v>18</v>
      </c>
      <c r="B1673" s="18" t="str">
        <f ca="1">IFERROR(__xludf.DUMMYFUNCTION("GOOGLETRANSLATE(C11,""en"",""hr"")"),"LED kratka svjetla (promet lijevom stranom)")</f>
        <v>LED kratka svjetla (promet lijevom stranom)</v>
      </c>
    </row>
    <row r="1674" spans="1:2" x14ac:dyDescent="0.2">
      <c r="A1674" s="21" t="s">
        <v>1563</v>
      </c>
      <c r="B1674" s="18" t="str">
        <f ca="1">IFERROR(__xludf.DUMMYFUNCTION("GOOGLETRANSLATE(C5325,""en"",""hr"")"),"Prekidač")</f>
        <v>Prekidač</v>
      </c>
    </row>
    <row r="1675" spans="1:2" x14ac:dyDescent="0.2">
      <c r="A1675" s="21" t="s">
        <v>1569</v>
      </c>
      <c r="B1675" s="18" t="str">
        <f ca="1">IFERROR(__xludf.DUMMYFUNCTION("GOOGLETRANSLATE(C5331,""en"",""hr"")"),"Glavni prekidač baterije")</f>
        <v>Glavni prekidač baterije</v>
      </c>
    </row>
    <row r="1676" spans="1:2" x14ac:dyDescent="0.2">
      <c r="A1676" s="21" t="s">
        <v>1567</v>
      </c>
      <c r="B1676" s="18" t="str">
        <f ca="1">IFERROR(__xludf.DUMMYFUNCTION("GOOGLETRANSLATE(C5329,""en"",""hr"")"),"Prekidač")</f>
        <v>Prekidač</v>
      </c>
    </row>
    <row r="1677" spans="1:2" x14ac:dyDescent="0.2">
      <c r="A1677" s="21" t="s">
        <v>1564</v>
      </c>
      <c r="B1677" s="18" t="str">
        <f ca="1">IFERROR(__xludf.DUMMYFUNCTION("GOOGLETRANSLATE(C5326,""en"",""hr"")"),"Prekidač")</f>
        <v>Prekidač</v>
      </c>
    </row>
    <row r="1678" spans="1:2" x14ac:dyDescent="0.2">
      <c r="A1678" s="21" t="s">
        <v>1570</v>
      </c>
      <c r="B1678" s="18" t="str">
        <f ca="1">IFERROR(__xludf.DUMMYFUNCTION("GOOGLETRANSLATE(C5332,""en"",""hr"")"),"Prekidač")</f>
        <v>Prekidač</v>
      </c>
    </row>
    <row r="1679" spans="1:2" x14ac:dyDescent="0.2">
      <c r="A1679" s="21" t="s">
        <v>1571</v>
      </c>
      <c r="B1679" s="18" t="str">
        <f ca="1">IFERROR(__xludf.DUMMYFUNCTION("GOOGLETRANSLATE(C5333,""en"",""hr"")"),"Prekidač")</f>
        <v>Prekidač</v>
      </c>
    </row>
    <row r="1680" spans="1:2" x14ac:dyDescent="0.2">
      <c r="A1680" s="21" t="s">
        <v>1566</v>
      </c>
      <c r="B1680" s="18" t="str">
        <f ca="1">IFERROR(__xludf.DUMMYFUNCTION("GOOGLETRANSLATE(C5328,""en"",""hr"")"),"Prekidač")</f>
        <v>Prekidač</v>
      </c>
    </row>
    <row r="1681" spans="1:2" x14ac:dyDescent="0.2">
      <c r="A1681" s="21" t="s">
        <v>1568</v>
      </c>
      <c r="B1681" s="18" t="str">
        <f ca="1">IFERROR(__xludf.DUMMYFUNCTION("GOOGLETRANSLATE(C5330,""en"",""hr"")"),"Prekidač")</f>
        <v>Prekidač</v>
      </c>
    </row>
    <row r="1682" spans="1:2" x14ac:dyDescent="0.2">
      <c r="A1682" s="21" t="s">
        <v>1562</v>
      </c>
      <c r="B1682" s="18" t="str">
        <f ca="1">IFERROR(__xludf.DUMMYFUNCTION("GOOGLETRANSLATE(C5324,""en"",""hr"")"),"Prekidač")</f>
        <v>Prekidač</v>
      </c>
    </row>
    <row r="1683" spans="1:2" x14ac:dyDescent="0.2">
      <c r="A1683" s="21" t="s">
        <v>1561</v>
      </c>
      <c r="B1683" s="18" t="str">
        <f ca="1">IFERROR(__xludf.DUMMYFUNCTION("GOOGLETRANSLATE(C5323,""en"",""hr"")"),"Prekidač")</f>
        <v>Prekidač</v>
      </c>
    </row>
    <row r="1684" spans="1:2" x14ac:dyDescent="0.2">
      <c r="A1684" s="21" t="s">
        <v>1565</v>
      </c>
      <c r="B1684" s="18" t="str">
        <f ca="1">IFERROR(__xludf.DUMMYFUNCTION("GOOGLETRANSLATE(C5327,""en"",""hr"")"),"Prekidač")</f>
        <v>Prekidač</v>
      </c>
    </row>
    <row r="1685" spans="1:2" x14ac:dyDescent="0.2">
      <c r="A1685" s="21" t="s">
        <v>1850</v>
      </c>
      <c r="B1685" s="18" t="str">
        <f ca="1">IFERROR(__xludf.DUMMYFUNCTION("GOOGLETRANSLATE(C6471,""en"",""hr"")"),"Priključni blok")</f>
        <v>Priključni blok</v>
      </c>
    </row>
    <row r="1686" spans="1:2" x14ac:dyDescent="0.2">
      <c r="A1686" s="21" t="s">
        <v>1490</v>
      </c>
      <c r="B1686" s="18" t="str">
        <f ca="1">IFERROR(__xludf.DUMMYFUNCTION("GOOGLETRANSLATE(C4988,""en"",""hr"")"),"slijepi čep")</f>
        <v>slijepi čep</v>
      </c>
    </row>
    <row r="1687" spans="1:2" x14ac:dyDescent="0.2">
      <c r="A1687" s="21" t="s">
        <v>1516</v>
      </c>
      <c r="B1687" s="18" t="str">
        <f ca="1">IFERROR(__xludf.DUMMYFUNCTION("GOOGLETRANSLATE(C5140,""en"",""hr"")"),"LED kratka svjetla")</f>
        <v>LED kratka svjetla</v>
      </c>
    </row>
    <row r="1688" spans="1:2" x14ac:dyDescent="0.2">
      <c r="A1688" s="21" t="s">
        <v>1515</v>
      </c>
      <c r="B1688" s="18" t="str">
        <f ca="1">IFERROR(__xludf.DUMMYFUNCTION("GOOGLETRANSLATE(C5139,""en"",""hr"")"),"Držač")</f>
        <v>Držač</v>
      </c>
    </row>
    <row r="1689" spans="1:2" x14ac:dyDescent="0.2">
      <c r="A1689" s="21" t="s">
        <v>1588</v>
      </c>
      <c r="B1689" s="18" t="str">
        <f ca="1">IFERROR(__xludf.DUMMYFUNCTION("GOOGLETRANSLATE(C5376,""en"",""hr"")"),"Brava za paljenje")</f>
        <v>Brava za paljenje</v>
      </c>
    </row>
    <row r="1690" spans="1:2" x14ac:dyDescent="0.2">
      <c r="A1690" s="21" t="s">
        <v>1831</v>
      </c>
      <c r="B1690" s="18" t="str">
        <f ca="1">IFERROR(__xludf.DUMMYFUNCTION("GOOGLETRANSLATE(C6398,""en"",""hr"")"),"Čahura kabela")</f>
        <v>Čahura kabela</v>
      </c>
    </row>
    <row r="1691" spans="1:2" x14ac:dyDescent="0.2">
      <c r="A1691" s="21" t="s">
        <v>1859</v>
      </c>
      <c r="B1691" s="18" t="str">
        <f ca="1">IFERROR(__xludf.DUMMYFUNCTION("GOOGLETRANSLATE(C6524,""en"",""hr"")"),"kabelski ulaz")</f>
        <v>kabelski ulaz</v>
      </c>
    </row>
    <row r="1692" spans="1:2" x14ac:dyDescent="0.2">
      <c r="A1692" s="21" t="s">
        <v>1858</v>
      </c>
      <c r="B1692" s="18" t="str">
        <f ca="1">IFERROR(__xludf.DUMMYFUNCTION("GOOGLETRANSLATE(C6523,""en"",""hr"")"),"Čahura kabela")</f>
        <v>Čahura kabela</v>
      </c>
    </row>
    <row r="1693" spans="1:2" x14ac:dyDescent="0.2">
      <c r="A1693" s="21" t="s">
        <v>1855</v>
      </c>
      <c r="B1693" s="18" t="str">
        <f ca="1">IFERROR(__xludf.DUMMYFUNCTION("GOOGLETRANSLATE(C6520,""en"",""hr"")"),"Čahura kabela")</f>
        <v>Čahura kabela</v>
      </c>
    </row>
    <row r="1694" spans="1:2" x14ac:dyDescent="0.2">
      <c r="A1694" s="21" t="s">
        <v>1854</v>
      </c>
      <c r="B1694" s="18" t="str">
        <f ca="1">IFERROR(__xludf.DUMMYFUNCTION("GOOGLETRANSLATE(C6519,""en"",""hr"")"),"Čahura kabela")</f>
        <v>Čahura kabela</v>
      </c>
    </row>
    <row r="1695" spans="1:2" x14ac:dyDescent="0.2">
      <c r="A1695" s="21" t="s">
        <v>1856</v>
      </c>
      <c r="B1695" s="18" t="str">
        <f ca="1">IFERROR(__xludf.DUMMYFUNCTION("GOOGLETRANSLATE(C6521,""en"",""hr"")"),"Čahura kabela")</f>
        <v>Čahura kabela</v>
      </c>
    </row>
    <row r="1696" spans="1:2" x14ac:dyDescent="0.2">
      <c r="A1696" s="21" t="s">
        <v>1551</v>
      </c>
      <c r="B1696" s="18" t="str">
        <f ca="1">IFERROR(__xludf.DUMMYFUNCTION("GOOGLETRANSLATE(C5287,""en"",""hr"")"),"Prekidač za hitne slučajeve")</f>
        <v>Prekidač za hitne slučajeve</v>
      </c>
    </row>
    <row r="1697" spans="1:2" x14ac:dyDescent="0.2">
      <c r="A1697" s="21" t="s">
        <v>1842</v>
      </c>
      <c r="B1697" s="18" t="str">
        <f ca="1">IFERROR(__xludf.DUMMYFUNCTION("GOOGLETRANSLATE(C6443,""en"",""hr"")"),"Relej 50A")</f>
        <v>Relej 50A</v>
      </c>
    </row>
    <row r="1698" spans="1:2" x14ac:dyDescent="0.2">
      <c r="A1698" s="21" t="s">
        <v>1821</v>
      </c>
      <c r="B1698" s="18" t="str">
        <f ca="1">IFERROR(__xludf.DUMMYFUNCTION("GOOGLETRANSLATE(C6354,""en"",""hr"")"),"Relej")</f>
        <v>Relej</v>
      </c>
    </row>
    <row r="1699" spans="1:2" x14ac:dyDescent="0.2">
      <c r="A1699" s="21" t="s">
        <v>1843</v>
      </c>
      <c r="B1699" s="18" t="str">
        <f ca="1">IFERROR(__xludf.DUMMYFUNCTION("GOOGLETRANSLATE(C6444,""en"",""hr"")"),"Relej visokih performansi")</f>
        <v>Relej visokih performansi</v>
      </c>
    </row>
    <row r="1700" spans="1:2" x14ac:dyDescent="0.2">
      <c r="A1700" s="21" t="s">
        <v>1822</v>
      </c>
      <c r="B1700" s="18" t="str">
        <f ca="1">IFERROR(__xludf.DUMMYFUNCTION("GOOGLETRANSLATE(C6355,""en"",""hr"")"),"Mikro relej")</f>
        <v>Mikro relej</v>
      </c>
    </row>
    <row r="1701" spans="1:2" x14ac:dyDescent="0.2">
      <c r="A1701" s="21" t="s">
        <v>271</v>
      </c>
      <c r="B1701" s="18" t="str">
        <f ca="1">IFERROR(__xludf.DUMMYFUNCTION("GOOGLETRANSLATE(C600,""en"",""hr"")"),"Spojnica za kabel")</f>
        <v>Spojnica za kabel</v>
      </c>
    </row>
    <row r="1702" spans="1:2" x14ac:dyDescent="0.2">
      <c r="A1702" s="21" t="s">
        <v>765</v>
      </c>
      <c r="B1702" s="18" t="str">
        <f ca="1">IFERROR(__xludf.DUMMYFUNCTION("GOOGLETRANSLATE(C2382,""en"",""hr"")"),"Stezaljka")</f>
        <v>Stezaljka</v>
      </c>
    </row>
    <row r="1703" spans="1:2" x14ac:dyDescent="0.2">
      <c r="A1703" s="21" t="s">
        <v>270</v>
      </c>
      <c r="B1703" s="18" t="str">
        <f ca="1">IFERROR(__xludf.DUMMYFUNCTION("GOOGLETRANSLATE(C599,""en"",""hr"")"),"Adapter")</f>
        <v>Adapter</v>
      </c>
    </row>
    <row r="1704" spans="1:2" x14ac:dyDescent="0.2">
      <c r="A1704" s="21" t="s">
        <v>22</v>
      </c>
      <c r="B1704" s="18" t="str">
        <f ca="1">IFERROR(__xludf.DUMMYFUNCTION("GOOGLETRANSLATE(C19,""en"",""hr"")"),"Pritisak, prekidač")</f>
        <v>Pritisak, prekidač</v>
      </c>
    </row>
    <row r="1705" spans="1:2" x14ac:dyDescent="0.2">
      <c r="A1705" s="21" t="s">
        <v>237</v>
      </c>
      <c r="B1705" s="18" t="str">
        <f ca="1">IFERROR(__xludf.DUMMYFUNCTION("GOOGLETRANSLATE(C502,""en"",""hr"")"),"Pritisak, prekidač")</f>
        <v>Pritisak, prekidač</v>
      </c>
    </row>
    <row r="1706" spans="1:2" x14ac:dyDescent="0.2">
      <c r="A1706" s="21" t="s">
        <v>254</v>
      </c>
      <c r="B1706" s="18" t="str">
        <f ca="1">IFERROR(__xludf.DUMMYFUNCTION("GOOGLETRANSLATE(C550,""en"",""hr"")"),"Pritisak, prekidač")</f>
        <v>Pritisak, prekidač</v>
      </c>
    </row>
    <row r="1707" spans="1:2" x14ac:dyDescent="0.2">
      <c r="A1707" s="21" t="s">
        <v>253</v>
      </c>
      <c r="B1707" s="18" t="str">
        <f ca="1">IFERROR(__xludf.DUMMYFUNCTION("GOOGLETRANSLATE(C534,""en"",""hr"")"),"Pritisak, prekidač")</f>
        <v>Pritisak, prekidač</v>
      </c>
    </row>
    <row r="1708" spans="1:2" x14ac:dyDescent="0.2">
      <c r="A1708" s="21" t="s">
        <v>1757</v>
      </c>
      <c r="B1708" s="18" t="str">
        <f ca="1">IFERROR(__xludf.DUMMYFUNCTION("GOOGLETRANSLATE(C6123,""en"",""hr"")"),"Tlak, Prekidač - unaprijed podešen 150 bara")</f>
        <v>Tlak, Prekidač - unaprijed podešen 150 bara</v>
      </c>
    </row>
    <row r="1709" spans="1:2" x14ac:dyDescent="0.2">
      <c r="A1709" s="21" t="s">
        <v>1758</v>
      </c>
      <c r="B1709" s="18" t="str">
        <f ca="1">IFERROR(__xludf.DUMMYFUNCTION("GOOGLETRANSLATE(C6124,""en"",""hr"")"),"Tlačna sklopka - podešena na 6 bara")</f>
        <v>Tlačna sklopka - podešena na 6 bara</v>
      </c>
    </row>
    <row r="1710" spans="1:2" x14ac:dyDescent="0.2">
      <c r="A1710" s="21" t="s">
        <v>1759</v>
      </c>
      <c r="B1710" s="18" t="str">
        <f ca="1">IFERROR(__xludf.DUMMYFUNCTION("GOOGLETRANSLATE(C6125,""en"",""hr"")"),"Presostat - prednamješten na 2,5 bara")</f>
        <v>Presostat - prednamješten na 2,5 bara</v>
      </c>
    </row>
    <row r="1711" spans="1:2" x14ac:dyDescent="0.2">
      <c r="A1711" s="21" t="s">
        <v>591</v>
      </c>
      <c r="B1711" s="18" t="str">
        <f ca="1">IFERROR(__xludf.DUMMYFUNCTION("GOOGLETRANSLATE(C1723,""en"",""hr"")"),"Utikač")</f>
        <v>Utikač</v>
      </c>
    </row>
    <row r="1712" spans="1:2" x14ac:dyDescent="0.2">
      <c r="A1712" s="21" t="s">
        <v>593</v>
      </c>
      <c r="B1712" s="18" t="str">
        <f ca="1">IFERROR(__xludf.DUMMYFUNCTION("GOOGLETRANSLATE(C1726,""en"",""hr"")"),"Kabelska uvodnica")</f>
        <v>Kabelska uvodnica</v>
      </c>
    </row>
    <row r="1713" spans="1:2" x14ac:dyDescent="0.2">
      <c r="A1713" s="21" t="s">
        <v>1810</v>
      </c>
      <c r="B1713" s="18" t="str">
        <f ca="1">IFERROR(__xludf.DUMMYFUNCTION("GOOGLETRANSLATE(C6342,""en"",""hr"")"),"Čep za zaključavanje")</f>
        <v>Čep za zaključavanje</v>
      </c>
    </row>
    <row r="1714" spans="1:2" x14ac:dyDescent="0.2">
      <c r="A1714" s="21" t="s">
        <v>1655</v>
      </c>
      <c r="B1714" s="18" t="str">
        <f ca="1">IFERROR(__xludf.DUMMYFUNCTION("GOOGLETRANSLATE(C5633,""en"",""hr"")"),"Zasun za zaključavanje")</f>
        <v>Zasun za zaključavanje</v>
      </c>
    </row>
    <row r="1715" spans="1:2" x14ac:dyDescent="0.2">
      <c r="A1715" s="21" t="s">
        <v>1830</v>
      </c>
      <c r="B1715" s="18" t="str">
        <f ca="1">IFERROR(__xludf.DUMMYFUNCTION("GOOGLETRANSLATE(C6397,""en"",""hr"")"),"Kabelska uvodnica")</f>
        <v>Kabelska uvodnica</v>
      </c>
    </row>
    <row r="1716" spans="1:2" x14ac:dyDescent="0.2">
      <c r="A1716" s="21" t="s">
        <v>1809</v>
      </c>
      <c r="B1716" s="18" t="str">
        <f ca="1">IFERROR(__xludf.DUMMYFUNCTION("GOOGLETRANSLATE(C6340,""en"",""hr"")"),"Traka")</f>
        <v>Traka</v>
      </c>
    </row>
    <row r="1717" spans="1:2" x14ac:dyDescent="0.2">
      <c r="A1717" s="21" t="s">
        <v>1807</v>
      </c>
      <c r="B1717" s="18" t="str">
        <f ca="1">IFERROR(__xludf.DUMMYFUNCTION("GOOGLETRANSLATE(C6338,""en"",""hr"")"),"Traka")</f>
        <v>Traka</v>
      </c>
    </row>
    <row r="1718" spans="1:2" x14ac:dyDescent="0.2">
      <c r="A1718" s="21" t="s">
        <v>1642</v>
      </c>
      <c r="B1718" s="18" t="str">
        <f ca="1">IFERROR(__xludf.DUMMYFUNCTION("GOOGLETRANSLATE(C5548,""en"",""hr"")"),"Termostat")</f>
        <v>Termostat</v>
      </c>
    </row>
    <row r="1719" spans="1:2" x14ac:dyDescent="0.2">
      <c r="A1719" s="21" t="s">
        <v>291</v>
      </c>
      <c r="B1719" s="18" t="str">
        <f ca="1">IFERROR(__xludf.DUMMYFUNCTION("GOOGLETRANSLATE(C641,""en"",""hr"")"),"Senzor brzine")</f>
        <v>Senzor brzine</v>
      </c>
    </row>
    <row r="1720" spans="1:2" x14ac:dyDescent="0.2">
      <c r="A1720" s="21" t="s">
        <v>295</v>
      </c>
      <c r="B1720" s="18" t="str">
        <f ca="1">IFERROR(__xludf.DUMMYFUNCTION("GOOGLETRANSLATE(C657,""en"",""hr"")"),"Senzor kuta rotacije")</f>
        <v>Senzor kuta rotacije</v>
      </c>
    </row>
    <row r="1721" spans="1:2" x14ac:dyDescent="0.2">
      <c r="A1721" s="21" t="s">
        <v>1787</v>
      </c>
      <c r="B1721" s="18" t="str">
        <f ca="1">IFERROR(__xludf.DUMMYFUNCTION("GOOGLETRANSLATE(C6189,""en"",""hr"")"),"Senzor tlaka")</f>
        <v>Senzor tlaka</v>
      </c>
    </row>
    <row r="1722" spans="1:2" x14ac:dyDescent="0.2">
      <c r="A1722" s="21" t="s">
        <v>296</v>
      </c>
      <c r="B1722" s="18" t="str">
        <f ca="1">IFERROR(__xludf.DUMMYFUNCTION("GOOGLETRANSLATE(C658,""en"",""hr"")"),"Senzor kuta kpl.")</f>
        <v>Senzor kuta kpl.</v>
      </c>
    </row>
    <row r="1723" spans="1:2" x14ac:dyDescent="0.2">
      <c r="A1723" s="21" t="s">
        <v>1685</v>
      </c>
      <c r="B1723" s="18" t="str">
        <f ca="1">IFERROR(__xludf.DUMMYFUNCTION("GOOGLETRANSLATE(C5842,""en"",""hr"")"),"Regulator temperature ulja")</f>
        <v>Regulator temperature ulja</v>
      </c>
    </row>
    <row r="1724" spans="1:2" x14ac:dyDescent="0.2">
      <c r="A1724" s="21" t="s">
        <v>592</v>
      </c>
      <c r="B1724" s="18" t="str">
        <f ca="1">IFERROR(__xludf.DUMMYFUNCTION("GOOGLETRANSLATE(C1724,""en"",""hr"")"),"Filter")</f>
        <v>Filter</v>
      </c>
    </row>
    <row r="1725" spans="1:2" x14ac:dyDescent="0.2">
      <c r="A1725" s="21" t="s">
        <v>1638</v>
      </c>
      <c r="B1725" s="18" t="str">
        <f ca="1">IFERROR(__xludf.DUMMYFUNCTION("GOOGLETRANSLATE(C5511,""en"",""hr"")"),"Otpornik")</f>
        <v>Otpornik</v>
      </c>
    </row>
    <row r="1726" spans="1:2" x14ac:dyDescent="0.2">
      <c r="A1726" s="21" t="s">
        <v>596</v>
      </c>
      <c r="B1726" s="18" t="str">
        <f ca="1">IFERROR(__xludf.DUMMYFUNCTION("GOOGLETRANSLATE(C1738,""en"",""hr"")"),"Inverter")</f>
        <v>Inverter</v>
      </c>
    </row>
    <row r="1727" spans="1:2" x14ac:dyDescent="0.2">
      <c r="A1727" s="21" t="s">
        <v>598</v>
      </c>
      <c r="B1727" s="18" t="str">
        <f ca="1">IFERROR(__xludf.DUMMYFUNCTION("GOOGLETRANSLATE(C1740,""en"",""hr"")"),"Zaštita")</f>
        <v>Zaštita</v>
      </c>
    </row>
    <row r="1728" spans="1:2" x14ac:dyDescent="0.2">
      <c r="A1728" s="21" t="s">
        <v>599</v>
      </c>
      <c r="B1728" s="18" t="str">
        <f ca="1">IFERROR(__xludf.DUMMYFUNCTION("GOOGLETRANSLATE(C1741,""en"",""hr"")"),"Zaštitna kapuljača")</f>
        <v>Zaštitna kapuljača</v>
      </c>
    </row>
    <row r="1729" spans="1:2" x14ac:dyDescent="0.2">
      <c r="A1729" s="21" t="s">
        <v>597</v>
      </c>
      <c r="B1729" s="18" t="str">
        <f ca="1">IFERROR(__xludf.DUMMYFUNCTION("GOOGLETRANSLATE(C1739,""en"",""hr"")"),"Zaštita")</f>
        <v>Zaštita</v>
      </c>
    </row>
    <row r="1730" spans="1:2" x14ac:dyDescent="0.2">
      <c r="A1730" s="21" t="s">
        <v>600</v>
      </c>
      <c r="B1730" s="18" t="str">
        <f ca="1">IFERROR(__xludf.DUMMYFUNCTION("GOOGLETRANSLATE(C1743,""en"",""hr"")"),"Punjač")</f>
        <v>Punjač</v>
      </c>
    </row>
    <row r="1731" spans="1:2" x14ac:dyDescent="0.2">
      <c r="A1731" s="21" t="s">
        <v>1911</v>
      </c>
      <c r="B1731" s="18" t="str">
        <f ca="1">IFERROR(__xludf.DUMMYFUNCTION("GOOGLETRANSLATE(C6667,""en"",""hr"")"),"Kabel, priključak")</f>
        <v>Kabel, priključak</v>
      </c>
    </row>
    <row r="1732" spans="1:2" x14ac:dyDescent="0.2">
      <c r="A1732" s="21" t="s">
        <v>1912</v>
      </c>
      <c r="B1732" s="18" t="str">
        <f ca="1">IFERROR(__xludf.DUMMYFUNCTION("GOOGLETRANSLATE(C6668,""en"",""hr"")"),"Kabel, priključak")</f>
        <v>Kabel, priključak</v>
      </c>
    </row>
    <row r="1733" spans="1:2" x14ac:dyDescent="0.2">
      <c r="A1733" s="21" t="s">
        <v>1910</v>
      </c>
      <c r="B1733" s="18" t="str">
        <f ca="1">IFERROR(__xludf.DUMMYFUNCTION("GOOGLETRANSLATE(C6661,""en"",""hr"")"),"Fotoaparat")</f>
        <v>Fotoaparat</v>
      </c>
    </row>
    <row r="1734" spans="1:2" x14ac:dyDescent="0.2">
      <c r="A1734" s="21" t="s">
        <v>1835</v>
      </c>
      <c r="B1734" s="18" t="str">
        <f ca="1">IFERROR(__xludf.DUMMYFUNCTION("GOOGLETRANSLATE(C6424,""en"",""hr"")"),"Razmaknica")</f>
        <v>Razmaknica</v>
      </c>
    </row>
    <row r="1735" spans="1:2" x14ac:dyDescent="0.2">
      <c r="A1735" s="21" t="s">
        <v>976</v>
      </c>
      <c r="B1735" s="18" t="str">
        <f ca="1">IFERROR(__xludf.DUMMYFUNCTION("GOOGLETRANSLATE(C3109,""en"",""hr"")"),"Razmaknica")</f>
        <v>Razmaknica</v>
      </c>
    </row>
    <row r="1736" spans="1:2" x14ac:dyDescent="0.2">
      <c r="A1736" s="21" t="s">
        <v>1554</v>
      </c>
      <c r="B1736" s="18" t="str">
        <f ca="1">IFERROR(__xludf.DUMMYFUNCTION("GOOGLETRANSLATE(C5292,""en"",""hr"")"),"kapa")</f>
        <v>kapa</v>
      </c>
    </row>
    <row r="1737" spans="1:2" x14ac:dyDescent="0.2">
      <c r="A1737" s="21" t="s">
        <v>1536</v>
      </c>
      <c r="B1737" s="18" t="str">
        <f ca="1">IFERROR(__xludf.DUMMYFUNCTION("GOOGLETRANSLATE(C5202,""en"",""hr"")"),"Montažna ploča")</f>
        <v>Montažna ploča</v>
      </c>
    </row>
    <row r="1738" spans="1:2" x14ac:dyDescent="0.2">
      <c r="A1738" s="21" t="s">
        <v>1581</v>
      </c>
      <c r="B1738" s="18" t="str">
        <f ca="1">IFERROR(__xludf.DUMMYFUNCTION("GOOGLETRANSLATE(C5352,""en"",""hr"")"),"Čahura kabela")</f>
        <v>Čahura kabela</v>
      </c>
    </row>
    <row r="1739" spans="1:2" x14ac:dyDescent="0.2">
      <c r="A1739" s="21" t="s">
        <v>1832</v>
      </c>
      <c r="B1739" s="18" t="str">
        <f ca="1">IFERROR(__xludf.DUMMYFUNCTION("GOOGLETRANSLATE(C6399,""en"",""hr"")"),"Čahura kabela")</f>
        <v>Čahura kabela</v>
      </c>
    </row>
    <row r="1740" spans="1:2" x14ac:dyDescent="0.2">
      <c r="A1740" s="21" t="s">
        <v>1860</v>
      </c>
      <c r="B1740" s="18" t="str">
        <f ca="1">IFERROR(__xludf.DUMMYFUNCTION("GOOGLETRANSLATE(C6525,""en"",""hr"")"),"Grommet")</f>
        <v>Grommet</v>
      </c>
    </row>
    <row r="1741" spans="1:2" x14ac:dyDescent="0.2">
      <c r="A1741" s="21" t="s">
        <v>1808</v>
      </c>
      <c r="B1741" s="18" t="str">
        <f ca="1">IFERROR(__xludf.DUMMYFUNCTION("GOOGLETRANSLATE(C6339,""en"",""hr"")"),"Grommet")</f>
        <v>Grommet</v>
      </c>
    </row>
    <row r="1742" spans="1:2" x14ac:dyDescent="0.2">
      <c r="A1742" s="21" t="s">
        <v>1637</v>
      </c>
      <c r="B1742" s="18" t="str">
        <f ca="1">IFERROR(__xludf.DUMMYFUNCTION("GOOGLETRANSLATE(C5510,""en"",""hr"")"),"Ventilator")</f>
        <v>Ventilator</v>
      </c>
    </row>
    <row r="1743" spans="1:2" x14ac:dyDescent="0.2">
      <c r="A1743" s="21" t="s">
        <v>1919</v>
      </c>
      <c r="B1743" s="18" t="str">
        <f ca="1">IFERROR(__xludf.DUMMYFUNCTION("GOOGLETRANSLATE(C6682,""en"",""hr"")"),"Kabel adaptera")</f>
        <v>Kabel adaptera</v>
      </c>
    </row>
    <row r="1744" spans="1:2" x14ac:dyDescent="0.2">
      <c r="A1744" s="21" t="s">
        <v>1920</v>
      </c>
      <c r="B1744" s="18" t="str">
        <f ca="1">IFERROR(__xludf.DUMMYFUNCTION("GOOGLETRANSLATE(C6683,""en"",""hr"")"),"Vrsta adaptera G (UK)")</f>
        <v>Vrsta adaptera G (UK)</v>
      </c>
    </row>
    <row r="1745" spans="1:2" x14ac:dyDescent="0.2">
      <c r="A1745" s="21" t="s">
        <v>1921</v>
      </c>
      <c r="B1745" s="18" t="str">
        <f ca="1">IFERROR(__xludf.DUMMYFUNCTION("GOOGLETRANSLATE(C6684,""en"",""hr"")"),"Tip adaptera G (IT)")</f>
        <v>Tip adaptera G (IT)</v>
      </c>
    </row>
    <row r="1746" spans="1:2" x14ac:dyDescent="0.2">
      <c r="A1746" s="21" t="s">
        <v>1922</v>
      </c>
      <c r="B1746" s="18" t="str">
        <f ca="1">IFERROR(__xludf.DUMMYFUNCTION("GOOGLETRANSLATE(C6685,""en"",""hr"")"),"Tip adaptera CCEE16 400V")</f>
        <v>Tip adaptera CCEE16 400V</v>
      </c>
    </row>
    <row r="1747" spans="1:2" x14ac:dyDescent="0.2">
      <c r="A1747" s="21" t="s">
        <v>1923</v>
      </c>
      <c r="B1747" s="18" t="str">
        <f ca="1">IFERROR(__xludf.DUMMYFUNCTION("GOOGLETRANSLATE(C6686,""en"",""hr"")"),"Adapter")</f>
        <v>Adapter</v>
      </c>
    </row>
    <row r="1748" spans="1:2" x14ac:dyDescent="0.2">
      <c r="A1748" s="21" t="s">
        <v>1924</v>
      </c>
      <c r="B1748" s="18" t="str">
        <f ca="1">IFERROR(__xludf.DUMMYFUNCTION("GOOGLETRANSLATE(C6687,""en"",""hr"")"),"AC kabel za punjenje tip 2")</f>
        <v>AC kabel za punjenje tip 2</v>
      </c>
    </row>
    <row r="1749" spans="1:2" x14ac:dyDescent="0.2">
      <c r="A1749" s="21" t="s">
        <v>1556</v>
      </c>
      <c r="B1749" s="18" t="str">
        <f ca="1">IFERROR(__xludf.DUMMYFUNCTION("GOOGLETRANSLATE(C5300,""en"",""hr"")"),"Kabel (+CC)")</f>
        <v>Kabel (+CC)</v>
      </c>
    </row>
    <row r="1750" spans="1:2" x14ac:dyDescent="0.2">
      <c r="A1750" s="21" t="s">
        <v>1846</v>
      </c>
      <c r="B1750" s="18" t="str">
        <f ca="1">IFERROR(__xludf.DUMMYFUNCTION("GOOGLETRANSLATE(C6456,""en"",""hr"")"),"brava")</f>
        <v>brava</v>
      </c>
    </row>
    <row r="1751" spans="1:2" x14ac:dyDescent="0.2">
      <c r="A1751" s="21" t="s">
        <v>1847</v>
      </c>
      <c r="B1751" s="18" t="str">
        <f ca="1">IFERROR(__xludf.DUMMYFUNCTION("GOOGLETRANSLATE(C6457,""en"",""hr"")"),"Osigurač")</f>
        <v>Osigurač</v>
      </c>
    </row>
    <row r="1752" spans="1:2" x14ac:dyDescent="0.2">
      <c r="A1752" s="21" t="s">
        <v>1849</v>
      </c>
      <c r="B1752" s="18" t="str">
        <f ca="1">IFERROR(__xludf.DUMMYFUNCTION("GOOGLETRANSLATE(C6459,""en"",""hr"")"),"brava")</f>
        <v>brava</v>
      </c>
    </row>
    <row r="1753" spans="1:2" x14ac:dyDescent="0.2">
      <c r="A1753" s="21" t="s">
        <v>2002</v>
      </c>
      <c r="B1753" s="18" t="str">
        <f ca="1">IFERROR(__xludf.DUMMYFUNCTION("GOOGLETRANSLATE(C6785,""en"",""hr"")"),"Ljepljiva ploča")</f>
        <v>Ljepljiva ploča</v>
      </c>
    </row>
    <row r="1754" spans="1:2" x14ac:dyDescent="0.2">
      <c r="A1754" s="21" t="s">
        <v>1871</v>
      </c>
      <c r="B1754" s="18" t="str">
        <f ca="1">IFERROR(__xludf.DUMMYFUNCTION("GOOGLETRANSLATE(C6584,""en"",""hr"")"),"Tester visokog napona Cat.1V 1000V")</f>
        <v>Tester visokog napona Cat.1V 1000V</v>
      </c>
    </row>
    <row r="1755" spans="1:2" x14ac:dyDescent="0.2">
      <c r="A1755" s="21" t="s">
        <v>841</v>
      </c>
      <c r="B1755" s="18" t="str">
        <f ca="1">IFERROR(__xludf.DUMMYFUNCTION("GOOGLETRANSLATE(C2504,""en"",""hr"")"),"Potporni prsten")</f>
        <v>Potporni prsten</v>
      </c>
    </row>
    <row r="1756" spans="1:2" x14ac:dyDescent="0.2">
      <c r="A1756" s="21" t="s">
        <v>734</v>
      </c>
      <c r="B1756" s="18" t="str">
        <f ca="1">IFERROR(__xludf.DUMMYFUNCTION("GOOGLETRANSLATE(C2303,""en"",""hr"")"),"Potporni prsten")</f>
        <v>Potporni prsten</v>
      </c>
    </row>
    <row r="1757" spans="1:2" x14ac:dyDescent="0.2">
      <c r="A1757" s="21" t="s">
        <v>307</v>
      </c>
      <c r="B1757" s="18" t="str">
        <f ca="1">IFERROR(__xludf.DUMMYFUNCTION("GOOGLETRANSLATE(C680,""en"",""hr"")"),"Potporni prsten")</f>
        <v>Potporni prsten</v>
      </c>
    </row>
    <row r="1758" spans="1:2" x14ac:dyDescent="0.2">
      <c r="A1758" s="21" t="s">
        <v>810</v>
      </c>
      <c r="B1758" s="18" t="str">
        <f ca="1">IFERROR(__xludf.DUMMYFUNCTION("GOOGLETRANSLATE(C2457,""en"",""hr"")"),"Potporni prsten")</f>
        <v>Potporni prsten</v>
      </c>
    </row>
    <row r="1759" spans="1:2" x14ac:dyDescent="0.2">
      <c r="A1759" s="21" t="s">
        <v>869</v>
      </c>
      <c r="B1759" s="18" t="str">
        <f ca="1">IFERROR(__xludf.DUMMYFUNCTION("GOOGLETRANSLATE(C2548,""en"",""hr"")"),"Potporni prsten")</f>
        <v>Potporni prsten</v>
      </c>
    </row>
    <row r="1760" spans="1:2" x14ac:dyDescent="0.2">
      <c r="A1760" s="21" t="s">
        <v>828</v>
      </c>
      <c r="B1760" s="18" t="str">
        <f ca="1">IFERROR(__xludf.DUMMYFUNCTION("GOOGLETRANSLATE(C2486,""en"",""hr"")"),"Potporni prsten")</f>
        <v>Potporni prsten</v>
      </c>
    </row>
    <row r="1761" spans="1:2" x14ac:dyDescent="0.2">
      <c r="A1761" s="21" t="s">
        <v>774</v>
      </c>
      <c r="B1761" s="18" t="str">
        <f ca="1">IFERROR(__xludf.DUMMYFUNCTION("GOOGLETRANSLATE(C2403,""en"",""hr"")"),"Potporni prsten")</f>
        <v>Potporni prsten</v>
      </c>
    </row>
    <row r="1762" spans="1:2" x14ac:dyDescent="0.2">
      <c r="A1762" s="21" t="s">
        <v>204</v>
      </c>
      <c r="B1762" s="18" t="str">
        <f ca="1">IFERROR(__xludf.DUMMYFUNCTION("GOOGLETRANSLATE(C439,""en"",""hr"")"),"Potporni prsten")</f>
        <v>Potporni prsten</v>
      </c>
    </row>
    <row r="1763" spans="1:2" x14ac:dyDescent="0.2">
      <c r="A1763" s="21" t="s">
        <v>281</v>
      </c>
      <c r="B1763" s="18" t="str">
        <f ca="1">IFERROR(__xludf.DUMMYFUNCTION("GOOGLETRANSLATE(C625,""en"",""hr"")"),"Potporni prsten")</f>
        <v>Potporni prsten</v>
      </c>
    </row>
    <row r="1764" spans="1:2" x14ac:dyDescent="0.2">
      <c r="A1764" s="21" t="s">
        <v>345</v>
      </c>
      <c r="B1764" s="18" t="str">
        <f ca="1">IFERROR(__xludf.DUMMYFUNCTION("GOOGLETRANSLATE(C773,""en"",""hr"")"),"Potporni prsten")</f>
        <v>Potporni prsten</v>
      </c>
    </row>
    <row r="1765" spans="1:2" x14ac:dyDescent="0.2">
      <c r="A1765" s="21" t="s">
        <v>1270</v>
      </c>
      <c r="B1765" s="18" t="str">
        <f ca="1">IFERROR(__xludf.DUMMYFUNCTION("GOOGLETRANSLATE(C4003,""en"",""hr"")"),"Brtva osovine")</f>
        <v>Brtva osovine</v>
      </c>
    </row>
    <row r="1766" spans="1:2" x14ac:dyDescent="0.2">
      <c r="A1766" s="21" t="s">
        <v>1344</v>
      </c>
      <c r="B1766" s="18" t="str">
        <f ca="1">IFERROR(__xludf.DUMMYFUNCTION("GOOGLETRANSLATE(C4236,""en"",""hr"")"),"Brtva osovine NBR")</f>
        <v>Brtva osovine NBR</v>
      </c>
    </row>
    <row r="1767" spans="1:2" x14ac:dyDescent="0.2">
      <c r="A1767" s="21" t="s">
        <v>336</v>
      </c>
      <c r="B1767" s="18" t="str">
        <f ca="1">IFERROR(__xludf.DUMMYFUNCTION("GOOGLETRANSLATE(C758,""en"",""hr"")"),"Brtva osovine")</f>
        <v>Brtva osovine</v>
      </c>
    </row>
    <row r="1768" spans="1:2" x14ac:dyDescent="0.2">
      <c r="A1768" s="21" t="s">
        <v>337</v>
      </c>
      <c r="B1768" s="18" t="str">
        <f ca="1">IFERROR(__xludf.DUMMYFUNCTION("GOOGLETRANSLATE(C759,""en"",""hr"")"),"Brtva osovine")</f>
        <v>Brtva osovine</v>
      </c>
    </row>
    <row r="1769" spans="1:2" x14ac:dyDescent="0.2">
      <c r="A1769" s="21" t="s">
        <v>979</v>
      </c>
      <c r="B1769" s="18" t="str">
        <f ca="1">IFERROR(__xludf.DUMMYFUNCTION("GOOGLETRANSLATE(C3123,""en"",""hr"")"),"Proljeće")</f>
        <v>Proljeće</v>
      </c>
    </row>
    <row r="1770" spans="1:2" x14ac:dyDescent="0.2">
      <c r="A1770" s="21" t="s">
        <v>1112</v>
      </c>
      <c r="B1770" s="18" t="str">
        <f ca="1">IFERROR(__xludf.DUMMYFUNCTION("GOOGLETRANSLATE(C3594,""en"",""hr"")"),"Proljeće")</f>
        <v>Proljeće</v>
      </c>
    </row>
    <row r="1771" spans="1:2" x14ac:dyDescent="0.2">
      <c r="A1771" s="21" t="s">
        <v>805</v>
      </c>
      <c r="B1771" s="18" t="str">
        <f ca="1">IFERROR(__xludf.DUMMYFUNCTION("GOOGLETRANSLATE(C2449,""en"",""hr"")"),"Plinski cilindar")</f>
        <v>Plinski cilindar</v>
      </c>
    </row>
    <row r="1772" spans="1:2" x14ac:dyDescent="0.2">
      <c r="A1772" s="21" t="s">
        <v>899</v>
      </c>
      <c r="B1772" s="18" t="str">
        <f ca="1">IFERROR(__xludf.DUMMYFUNCTION("GOOGLETRANSLATE(C2658,""en"",""hr"")"),"Plinski cilindar")</f>
        <v>Plinski cilindar</v>
      </c>
    </row>
    <row r="1773" spans="1:2" x14ac:dyDescent="0.2">
      <c r="A1773" s="21" t="s">
        <v>909</v>
      </c>
      <c r="B1773" s="18" t="str">
        <f ca="1">IFERROR(__xludf.DUMMYFUNCTION("GOOGLETRANSLATE(C2724,""en"",""hr"")"),"Plinski cilindar")</f>
        <v>Plinski cilindar</v>
      </c>
    </row>
    <row r="1774" spans="1:2" x14ac:dyDescent="0.2">
      <c r="A1774" s="21" t="s">
        <v>226</v>
      </c>
      <c r="B1774" s="18" t="str">
        <f ca="1">IFERROR(__xludf.DUMMYFUNCTION("GOOGLETRANSLATE(C476,""en"",""hr"")"),"Opružni vijak")</f>
        <v>Opružni vijak</v>
      </c>
    </row>
    <row r="1775" spans="1:2" x14ac:dyDescent="0.2">
      <c r="A1775" s="21" t="s">
        <v>1479</v>
      </c>
      <c r="B1775" s="18" t="str">
        <f ca="1">IFERROR(__xludf.DUMMYFUNCTION("GOOGLETRANSLATE(C4966,""en"",""hr"")"),"Plinski cilindar")</f>
        <v>Plinski cilindar</v>
      </c>
    </row>
    <row r="1776" spans="1:2" x14ac:dyDescent="0.2">
      <c r="A1776" s="21" t="s">
        <v>1480</v>
      </c>
      <c r="B1776" s="18" t="str">
        <f ca="1">IFERROR(__xludf.DUMMYFUNCTION("GOOGLETRANSLATE(C4967,""en"",""hr"")"),"Plinski cilindar")</f>
        <v>Plinski cilindar</v>
      </c>
    </row>
    <row r="1777" spans="1:2" x14ac:dyDescent="0.2">
      <c r="A1777" s="21" t="s">
        <v>1451</v>
      </c>
      <c r="B1777" s="18" t="str">
        <f ca="1">IFERROR(__xludf.DUMMYFUNCTION("GOOGLETRANSLATE(C4737,""en"",""hr"")"),"Proljeće")</f>
        <v>Proljeće</v>
      </c>
    </row>
    <row r="1778" spans="1:2" x14ac:dyDescent="0.2">
      <c r="A1778" s="21" t="s">
        <v>1117</v>
      </c>
      <c r="B1778" s="18" t="str">
        <f ca="1">IFERROR(__xludf.DUMMYFUNCTION("GOOGLETRANSLATE(C3620,""en"",""hr"")"),"Napetost opruge")</f>
        <v>Napetost opruge</v>
      </c>
    </row>
    <row r="1779" spans="1:2" x14ac:dyDescent="0.2">
      <c r="A1779" s="21" t="s">
        <v>1018</v>
      </c>
      <c r="B1779" s="18" t="str">
        <f ca="1">IFERROR(__xludf.DUMMYFUNCTION("GOOGLETRANSLATE(C3291,""en"",""hr"")"),"Napetost opruge")</f>
        <v>Napetost opruge</v>
      </c>
    </row>
    <row r="1780" spans="1:2" x14ac:dyDescent="0.2">
      <c r="A1780" s="21" t="s">
        <v>1039</v>
      </c>
      <c r="B1780" s="18" t="str">
        <f ca="1">IFERROR(__xludf.DUMMYFUNCTION("GOOGLETRANSLATE(C3387,""en"",""hr"")"),"Napetost opruge")</f>
        <v>Napetost opruge</v>
      </c>
    </row>
    <row r="1781" spans="1:2" x14ac:dyDescent="0.2">
      <c r="A1781" s="21" t="s">
        <v>1583</v>
      </c>
      <c r="B1781" s="18" t="str">
        <f ca="1">IFERROR(__xludf.DUMMYFUNCTION("GOOGLETRANSLATE(C5357,""en"",""hr"")"),"Napetost opruge")</f>
        <v>Napetost opruge</v>
      </c>
    </row>
    <row r="1782" spans="1:2" x14ac:dyDescent="0.2">
      <c r="A1782" s="21" t="s">
        <v>274</v>
      </c>
      <c r="B1782" s="18" t="str">
        <f ca="1">IFERROR(__xludf.DUMMYFUNCTION("GOOGLETRANSLATE(C605,""en"",""hr"")"),"Vijak")</f>
        <v>Vijak</v>
      </c>
    </row>
    <row r="1783" spans="1:2" x14ac:dyDescent="0.2">
      <c r="A1783" s="21" t="s">
        <v>1442</v>
      </c>
      <c r="B1783" s="18" t="str">
        <f ca="1">IFERROR(__xludf.DUMMYFUNCTION("GOOGLETRANSLATE(C4706,""en"",""hr"")"),"Ručka međuspremnik gumba")</f>
        <v>Ručka međuspremnik gumba</v>
      </c>
    </row>
    <row r="1784" spans="1:2" x14ac:dyDescent="0.2">
      <c r="A1784" s="21" t="s">
        <v>1381</v>
      </c>
      <c r="B1784" s="18" t="str">
        <f ca="1">IFERROR(__xludf.DUMMYFUNCTION("GOOGLETRANSLATE(C4374,""en"",""hr"")"),"Brtva po metru")</f>
        <v>Brtva po metru</v>
      </c>
    </row>
    <row r="1785" spans="1:2" x14ac:dyDescent="0.2">
      <c r="A1785" s="21" t="s">
        <v>1397</v>
      </c>
      <c r="B1785" s="18" t="str">
        <f ca="1">IFERROR(__xludf.DUMMYFUNCTION("GOOGLETRANSLATE(C4481,""en"",""hr"")"),"Presjek zaštitnih rubova po metru")</f>
        <v>Presjek zaštitnih rubova po metru</v>
      </c>
    </row>
    <row r="1786" spans="1:2" x14ac:dyDescent="0.2">
      <c r="A1786" s="21" t="s">
        <v>1484</v>
      </c>
      <c r="B1786" s="18" t="str">
        <f ca="1">IFERROR(__xludf.DUMMYFUNCTION("GOOGLETRANSLATE(C4972,""en"",""hr"")"),"Zaštitni ugljen")</f>
        <v>Zaštitni ugljen</v>
      </c>
    </row>
    <row r="1787" spans="1:2" x14ac:dyDescent="0.2">
      <c r="A1787" s="21" t="s">
        <v>987</v>
      </c>
      <c r="B1787" s="18" t="str">
        <f ca="1">IFERROR(__xludf.DUMMYFUNCTION("GOOGLETRANSLATE(C3149,""en"",""hr"")"),"Zaštitni ugljen")</f>
        <v>Zaštitni ugljen</v>
      </c>
    </row>
    <row r="1788" spans="1:2" x14ac:dyDescent="0.2">
      <c r="A1788" s="21" t="s">
        <v>1841</v>
      </c>
      <c r="B1788" s="18" t="str">
        <f ca="1">IFERROR(__xludf.DUMMYFUNCTION("GOOGLETRANSLATE(C6440,""en"",""hr"")"),"Brtva po metru")</f>
        <v>Brtva po metru</v>
      </c>
    </row>
    <row r="1789" spans="1:2" x14ac:dyDescent="0.2">
      <c r="A1789" s="21" t="s">
        <v>186</v>
      </c>
      <c r="B1789" s="18" t="str">
        <f ca="1">IFERROR(__xludf.DUMMYFUNCTION("GOOGLETRANSLATE(C376,""en"",""hr"")"),"Presjek zaštitnih rubova po metru")</f>
        <v>Presjek zaštitnih rubova po metru</v>
      </c>
    </row>
    <row r="1790" spans="1:2" x14ac:dyDescent="0.2">
      <c r="A1790" s="21" t="s">
        <v>1508</v>
      </c>
      <c r="B1790" s="18" t="str">
        <f ca="1">IFERROR(__xludf.DUMMYFUNCTION("GOOGLETRANSLATE(C5073,""en"",""hr"")"),"Profil")</f>
        <v>Profil</v>
      </c>
    </row>
    <row r="1791" spans="1:2" x14ac:dyDescent="0.2">
      <c r="A1791" s="21" t="s">
        <v>1498</v>
      </c>
      <c r="B1791" s="18" t="str">
        <f ca="1">IFERROR(__xludf.DUMMYFUNCTION("GOOGLETRANSLATE(C5042,""en"",""hr"")"),"Profil")</f>
        <v>Profil</v>
      </c>
    </row>
    <row r="1792" spans="1:2" x14ac:dyDescent="0.2">
      <c r="A1792" s="21" t="s">
        <v>1497</v>
      </c>
      <c r="B1792" s="18" t="str">
        <f ca="1">IFERROR(__xludf.DUMMYFUNCTION("GOOGLETRANSLATE(C5041,""en"",""hr"")"),"Profil")</f>
        <v>Profil</v>
      </c>
    </row>
    <row r="1793" spans="1:2" x14ac:dyDescent="0.2">
      <c r="A1793" s="21" t="s">
        <v>338</v>
      </c>
      <c r="B1793" s="18" t="str">
        <f ca="1">IFERROR(__xludf.DUMMYFUNCTION("GOOGLETRANSLATE(C760,""en"",""hr"")"),"O-prsten")</f>
        <v>O-prsten</v>
      </c>
    </row>
    <row r="1794" spans="1:2" x14ac:dyDescent="0.2">
      <c r="A1794" s="21" t="s">
        <v>1268</v>
      </c>
      <c r="B1794" s="18" t="str">
        <f ca="1">IFERROR(__xludf.DUMMYFUNCTION("GOOGLETRANSLATE(C4000,""en"",""hr"")"),"O-prsten")</f>
        <v>O-prsten</v>
      </c>
    </row>
    <row r="1795" spans="1:2" x14ac:dyDescent="0.2">
      <c r="A1795" s="21" t="s">
        <v>1677</v>
      </c>
      <c r="B1795" s="18" t="str">
        <f ca="1">IFERROR(__xludf.DUMMYFUNCTION("GOOGLETRANSLATE(C5793,""en"",""hr"")"),"O-prsten")</f>
        <v>O-prsten</v>
      </c>
    </row>
    <row r="1796" spans="1:2" x14ac:dyDescent="0.2">
      <c r="A1796" s="21" t="s">
        <v>844</v>
      </c>
      <c r="B1796" s="18" t="str">
        <f ca="1">IFERROR(__xludf.DUMMYFUNCTION("GOOGLETRANSLATE(C2507,""en"",""hr"")"),"O-prsten")</f>
        <v>O-prsten</v>
      </c>
    </row>
    <row r="1797" spans="1:2" x14ac:dyDescent="0.2">
      <c r="A1797" s="21" t="s">
        <v>638</v>
      </c>
      <c r="B1797" s="18" t="str">
        <f ca="1">IFERROR(__xludf.DUMMYFUNCTION("GOOGLETRANSLATE(C1966,""en"",""hr"")"),"mijehovi")</f>
        <v>mijehovi</v>
      </c>
    </row>
    <row r="1798" spans="1:2" x14ac:dyDescent="0.2">
      <c r="A1798" s="21" t="s">
        <v>1113</v>
      </c>
      <c r="B1798" s="18" t="str">
        <f ca="1">IFERROR(__xludf.DUMMYFUNCTION("GOOGLETRANSLATE(C3600,""en"",""hr"")"),"O-prsten")</f>
        <v>O-prsten</v>
      </c>
    </row>
    <row r="1799" spans="1:2" x14ac:dyDescent="0.2">
      <c r="A1799" s="21" t="s">
        <v>27</v>
      </c>
      <c r="B1799" s="18" t="str">
        <f ca="1">IFERROR(__xludf.DUMMYFUNCTION("GOOGLETRANSLATE(C28,""en"",""hr"")"),"O-prsten NBR")</f>
        <v>O-prsten NBR</v>
      </c>
    </row>
    <row r="1800" spans="1:2" x14ac:dyDescent="0.2">
      <c r="A1800" s="21" t="s">
        <v>44</v>
      </c>
      <c r="B1800" s="18" t="str">
        <f ca="1">IFERROR(__xludf.DUMMYFUNCTION("GOOGLETRANSLATE(C72,""en"",""hr"")"),"Gume 215/75 R16, oniks")</f>
        <v>Gume 215/75 R16, oniks</v>
      </c>
    </row>
    <row r="1801" spans="1:2" x14ac:dyDescent="0.2">
      <c r="A1801" s="21" t="s">
        <v>177</v>
      </c>
      <c r="B1801" s="18" t="str">
        <f ca="1">IFERROR(__xludf.DUMMYFUNCTION("GOOGLETRANSLATE(C349,""en"",""hr"")"),"Guma 215/75 R16, Kenda")</f>
        <v>Guma 215/75 R16, Kenda</v>
      </c>
    </row>
    <row r="1802" spans="1:2" x14ac:dyDescent="0.2">
      <c r="A1802" s="21" t="s">
        <v>188</v>
      </c>
      <c r="B1802" s="18" t="str">
        <f ca="1">IFERROR(__xludf.DUMMYFUNCTION("GOOGLETRANSLATE(C382,""en"",""hr"")"),"Gume 255/65 R16, Yokohama")</f>
        <v>Gume 255/65 R16, Yokohama</v>
      </c>
    </row>
    <row r="1803" spans="1:2" x14ac:dyDescent="0.2">
      <c r="A1803" s="21" t="s">
        <v>45</v>
      </c>
      <c r="B1803" s="18" t="str">
        <f ca="1">IFERROR(__xludf.DUMMYFUNCTION("GOOGLETRANSLATE(C73,""en"",""hr"")"),"Ventil")</f>
        <v>Ventil</v>
      </c>
    </row>
    <row r="1804" spans="1:2" x14ac:dyDescent="0.2">
      <c r="A1804" s="21" t="s">
        <v>189</v>
      </c>
      <c r="B1804" s="18" t="str">
        <f ca="1">IFERROR(__xludf.DUMMYFUNCTION("GOOGLETRANSLATE(C383,""en"",""hr"")"),"Ventil")</f>
        <v>Ventil</v>
      </c>
    </row>
    <row r="1805" spans="1:2" x14ac:dyDescent="0.2">
      <c r="A1805" s="21" t="s">
        <v>669</v>
      </c>
      <c r="B1805" s="18" t="str">
        <f ca="1">IFERROR(__xludf.DUMMYFUNCTION("GOOGLETRANSLATE(C2104,""en"",""hr"")"),"Čahura")</f>
        <v>Čahura</v>
      </c>
    </row>
    <row r="1806" spans="1:2" x14ac:dyDescent="0.2">
      <c r="A1806" s="21" t="s">
        <v>1341</v>
      </c>
      <c r="B1806" s="18" t="str">
        <f ca="1">IFERROR(__xludf.DUMMYFUNCTION("GOOGLETRANSLATE(C4222,""en"",""hr"")"),"Frikcijski ležaj")</f>
        <v>Frikcijski ležaj</v>
      </c>
    </row>
    <row r="1807" spans="1:2" x14ac:dyDescent="0.2">
      <c r="A1807" s="21" t="s">
        <v>666</v>
      </c>
      <c r="B1807" s="18" t="str">
        <f ca="1">IFERROR(__xludf.DUMMYFUNCTION("GOOGLETRANSLATE(C2093,""en"",""hr"")"),"Čahura")</f>
        <v>Čahura</v>
      </c>
    </row>
    <row r="1808" spans="1:2" x14ac:dyDescent="0.2">
      <c r="A1808" s="21" t="s">
        <v>859</v>
      </c>
      <c r="B1808" s="18" t="str">
        <f ca="1">IFERROR(__xludf.DUMMYFUNCTION("GOOGLETRANSLATE(C2532,""en"",""hr"")"),"Stezna čahura")</f>
        <v>Stezna čahura</v>
      </c>
    </row>
    <row r="1809" spans="1:2" x14ac:dyDescent="0.2">
      <c r="A1809" s="21" t="s">
        <v>900</v>
      </c>
      <c r="B1809" s="18" t="str">
        <f ca="1">IFERROR(__xludf.DUMMYFUNCTION("GOOGLETRANSLATE(C2659,""en"",""hr"")"),"Čahura")</f>
        <v>Čahura</v>
      </c>
    </row>
    <row r="1810" spans="1:2" x14ac:dyDescent="0.2">
      <c r="A1810" s="21" t="s">
        <v>1342</v>
      </c>
      <c r="B1810" s="18" t="str">
        <f ca="1">IFERROR(__xludf.DUMMYFUNCTION("GOOGLETRANSLATE(C4228,""en"",""hr"")"),"Čahura")</f>
        <v>Čahura</v>
      </c>
    </row>
    <row r="1811" spans="1:2" x14ac:dyDescent="0.2">
      <c r="A1811" s="21" t="s">
        <v>1013</v>
      </c>
      <c r="B1811" s="18" t="str">
        <f ca="1">IFERROR(__xludf.DUMMYFUNCTION("GOOGLETRANSLATE(C3284,""en"",""hr"")"),"Frikcijski ležaj")</f>
        <v>Frikcijski ležaj</v>
      </c>
    </row>
    <row r="1812" spans="1:2" x14ac:dyDescent="0.2">
      <c r="A1812" s="21" t="s">
        <v>1041</v>
      </c>
      <c r="B1812" s="18" t="str">
        <f ca="1">IFERROR(__xludf.DUMMYFUNCTION("GOOGLETRANSLATE(C3412,""en"",""hr"")"),"Prirubnički ležaj")</f>
        <v>Prirubnički ležaj</v>
      </c>
    </row>
    <row r="1813" spans="1:2" x14ac:dyDescent="0.2">
      <c r="A1813" s="21" t="s">
        <v>1494</v>
      </c>
      <c r="B1813" s="18" t="str">
        <f ca="1">IFERROR(__xludf.DUMMYFUNCTION("GOOGLETRANSLATE(C5021,""en"",""hr"")"),"Frikcijski ležaj")</f>
        <v>Frikcijski ležaj</v>
      </c>
    </row>
    <row r="1814" spans="1:2" x14ac:dyDescent="0.2">
      <c r="A1814" s="21" t="s">
        <v>1502</v>
      </c>
      <c r="B1814" s="18" t="str">
        <f ca="1">IFERROR(__xludf.DUMMYFUNCTION("GOOGLETRANSLATE(C5050,""en"",""hr"")"),"Frikcijski ležaj")</f>
        <v>Frikcijski ležaj</v>
      </c>
    </row>
    <row r="1815" spans="1:2" x14ac:dyDescent="0.2">
      <c r="A1815" s="21" t="s">
        <v>939</v>
      </c>
      <c r="B1815" s="18" t="str">
        <f ca="1">IFERROR(__xludf.DUMMYFUNCTION("GOOGLETRANSLATE(C2857,""en"",""hr"")"),"Čahura")</f>
        <v>Čahura</v>
      </c>
    </row>
    <row r="1816" spans="1:2" x14ac:dyDescent="0.2">
      <c r="A1816" s="21" t="s">
        <v>839</v>
      </c>
      <c r="B1816" s="18" t="str">
        <f ca="1">IFERROR(__xludf.DUMMYFUNCTION("GOOGLETRANSLATE(C2502,""en"",""hr"")"),"Čahura")</f>
        <v>Čahura</v>
      </c>
    </row>
    <row r="1817" spans="1:2" x14ac:dyDescent="0.2">
      <c r="A1817" s="21" t="s">
        <v>1582</v>
      </c>
      <c r="B1817" s="18" t="str">
        <f ca="1">IFERROR(__xludf.DUMMYFUNCTION("GOOGLETRANSLATE(C5353,""en"",""hr"")"),"Ležaj postolja")</f>
        <v>Ležaj postolja</v>
      </c>
    </row>
    <row r="1818" spans="1:2" x14ac:dyDescent="0.2">
      <c r="A1818" s="21" t="s">
        <v>384</v>
      </c>
      <c r="B1818" s="18" t="str">
        <f ca="1">IFERROR(__xludf.DUMMYFUNCTION("GOOGLETRANSLATE(C886,""en"",""hr"")"),"Podmazivač")</f>
        <v>Podmazivač</v>
      </c>
    </row>
    <row r="1819" spans="1:2" x14ac:dyDescent="0.2">
      <c r="A1819" s="21" t="s">
        <v>305</v>
      </c>
      <c r="B1819" s="18" t="str">
        <f ca="1">IFERROR(__xludf.DUMMYFUNCTION("GOOGLETRANSLATE(C674,""en"",""hr"")"),"Podmazivač")</f>
        <v>Podmazivač</v>
      </c>
    </row>
    <row r="1820" spans="1:2" x14ac:dyDescent="0.2">
      <c r="A1820" s="21" t="s">
        <v>846</v>
      </c>
      <c r="B1820" s="18" t="str">
        <f ca="1">IFERROR(__xludf.DUMMYFUNCTION("GOOGLETRANSLATE(C2509,""en"",""hr"")"),"Podmazivač")</f>
        <v>Podmazivač</v>
      </c>
    </row>
    <row r="1821" spans="1:2" x14ac:dyDescent="0.2">
      <c r="A1821" s="21" t="s">
        <v>223</v>
      </c>
      <c r="B1821" s="18" t="str">
        <f ca="1">IFERROR(__xludf.DUMMYFUNCTION("GOOGLETRANSLATE(C473,""en"",""hr"")"),"Podmazivač")</f>
        <v>Podmazivač</v>
      </c>
    </row>
    <row r="1822" spans="1:2" x14ac:dyDescent="0.2">
      <c r="A1822" s="21" t="s">
        <v>794</v>
      </c>
      <c r="B1822" s="18" t="str">
        <f ca="1">IFERROR(__xludf.DUMMYFUNCTION("GOOGLETRANSLATE(C2424,""en"",""hr"")"),"Podmazivač")</f>
        <v>Podmazivač</v>
      </c>
    </row>
    <row r="1823" spans="1:2" x14ac:dyDescent="0.2">
      <c r="A1823" s="21" t="s">
        <v>780</v>
      </c>
      <c r="B1823" s="18" t="str">
        <f ca="1">IFERROR(__xludf.DUMMYFUNCTION("GOOGLETRANSLATE(C2409,""en"",""hr"")"),"Podmazivač")</f>
        <v>Podmazivač</v>
      </c>
    </row>
    <row r="1824" spans="1:2" x14ac:dyDescent="0.2">
      <c r="A1824" s="21" t="s">
        <v>352</v>
      </c>
      <c r="B1824" s="18" t="str">
        <f ca="1">IFERROR(__xludf.DUMMYFUNCTION("GOOGLETRANSLATE(C806,""en"",""hr"")"),"Distributer")</f>
        <v>Distributer</v>
      </c>
    </row>
    <row r="1825" spans="1:2" x14ac:dyDescent="0.2">
      <c r="A1825" s="21" t="s">
        <v>28</v>
      </c>
      <c r="B1825" s="18" t="str">
        <f ca="1">IFERROR(__xludf.DUMMYFUNCTION("GOOGLETRANSLATE(C34,""en"",""hr"")"),"Vidno staklo")</f>
        <v>Vidno staklo</v>
      </c>
    </row>
    <row r="1826" spans="1:2" x14ac:dyDescent="0.2">
      <c r="A1826" s="21" t="s">
        <v>1053</v>
      </c>
      <c r="B1826" s="18" t="str">
        <f ca="1">IFERROR(__xludf.DUMMYFUNCTION("GOOGLETRANSLATE(C3438,""en"",""hr"")"),"Sigurnosna matica")</f>
        <v>Sigurnosna matica</v>
      </c>
    </row>
    <row r="1827" spans="1:2" x14ac:dyDescent="0.2">
      <c r="A1827" s="21" t="s">
        <v>769</v>
      </c>
      <c r="B1827" s="18" t="str">
        <f ca="1">IFERROR(__xludf.DUMMYFUNCTION("GOOGLETRANSLATE(C2389,""en"",""hr"")"),"Orah")</f>
        <v>Orah</v>
      </c>
    </row>
    <row r="1828" spans="1:2" x14ac:dyDescent="0.2">
      <c r="A1828" s="21" t="s">
        <v>683</v>
      </c>
      <c r="B1828" s="18" t="str">
        <f ca="1">IFERROR(__xludf.DUMMYFUNCTION("GOOGLETRANSLATE(C2139,""en"",""hr"")"),"Poklopna matica")</f>
        <v>Poklopna matica</v>
      </c>
    </row>
    <row r="1829" spans="1:2" x14ac:dyDescent="0.2">
      <c r="A1829" s="21" t="s">
        <v>1407</v>
      </c>
      <c r="B1829" s="18" t="str">
        <f ca="1">IFERROR(__xludf.DUMMYFUNCTION("GOOGLETRANSLATE(C4562,""en"",""hr"")"),"Sigurnosna matica")</f>
        <v>Sigurnosna matica</v>
      </c>
    </row>
    <row r="1830" spans="1:2" x14ac:dyDescent="0.2">
      <c r="A1830" s="21" t="s">
        <v>235</v>
      </c>
      <c r="B1830" s="18" t="str">
        <f ca="1">IFERROR(__xludf.DUMMYFUNCTION("GOOGLETRANSLATE(C490,""en"",""hr"")"),"Opružna stezaljka")</f>
        <v>Opružna stezaljka</v>
      </c>
    </row>
    <row r="1831" spans="1:2" x14ac:dyDescent="0.2">
      <c r="A1831" s="21" t="s">
        <v>222</v>
      </c>
      <c r="B1831" s="18" t="str">
        <f ca="1">IFERROR(__xludf.DUMMYFUNCTION("GOOGLETRANSLATE(C472,""en"",""hr"")"),"Gumeni valjak")</f>
        <v>Gumeni valjak</v>
      </c>
    </row>
    <row r="1832" spans="1:2" x14ac:dyDescent="0.2">
      <c r="A1832" s="21" t="s">
        <v>1312</v>
      </c>
      <c r="B1832" s="18" t="str">
        <f ca="1">IFERROR(__xludf.DUMMYFUNCTION("GOOGLETRANSLATE(C4139,""en"",""hr"")"),"Veza")</f>
        <v>Veza</v>
      </c>
    </row>
    <row r="1833" spans="1:2" x14ac:dyDescent="0.2">
      <c r="A1833" s="21" t="s">
        <v>1123</v>
      </c>
      <c r="B1833" s="18" t="str">
        <f ca="1">IFERROR(__xludf.DUMMYFUNCTION("GOOGLETRANSLATE(C3660,""en"",""hr"")"),"Križno pristajanje")</f>
        <v>Križno pristajanje</v>
      </c>
    </row>
    <row r="1834" spans="1:2" x14ac:dyDescent="0.2">
      <c r="A1834" s="21" t="s">
        <v>382</v>
      </c>
      <c r="B1834" s="18" t="str">
        <f ca="1">IFERROR(__xludf.DUMMYFUNCTION("GOOGLETRANSLATE(C862,""en"",""hr"")"),"Zaštitna kapuljača")</f>
        <v>Zaštitna kapuljača</v>
      </c>
    </row>
    <row r="1835" spans="1:2" x14ac:dyDescent="0.2">
      <c r="A1835" s="21" t="s">
        <v>1432</v>
      </c>
      <c r="B1835" s="18" t="str">
        <f ca="1">IFERROR(__xludf.DUMMYFUNCTION("GOOGLETRANSLATE(C4651,""en"",""hr"")"),"Zaštitna kapuljača")</f>
        <v>Zaštitna kapuljača</v>
      </c>
    </row>
    <row r="1836" spans="1:2" x14ac:dyDescent="0.2">
      <c r="A1836" s="21" t="s">
        <v>1422</v>
      </c>
      <c r="B1836" s="18" t="str">
        <f ca="1">IFERROR(__xludf.DUMMYFUNCTION("GOOGLETRANSLATE(C4621,""en"",""hr"")"),"Zaštitna kapuljača")</f>
        <v>Zaštitna kapuljača</v>
      </c>
    </row>
    <row r="1837" spans="1:2" x14ac:dyDescent="0.2">
      <c r="A1837" s="21" t="s">
        <v>342</v>
      </c>
      <c r="B1837" s="18" t="str">
        <f ca="1">IFERROR(__xludf.DUMMYFUNCTION("GOOGLETRANSLATE(C764,""en"",""hr"")"),"Veza")</f>
        <v>Veza</v>
      </c>
    </row>
    <row r="1838" spans="1:2" x14ac:dyDescent="0.2">
      <c r="A1838" s="21" t="s">
        <v>1232</v>
      </c>
      <c r="B1838" s="18" t="str">
        <f ca="1">IFERROR(__xludf.DUMMYFUNCTION("GOOGLETRANSLATE(C3920,""en"",""hr"")"),"Priključak")</f>
        <v>Priključak</v>
      </c>
    </row>
    <row r="1839" spans="1:2" x14ac:dyDescent="0.2">
      <c r="A1839" s="21" t="s">
        <v>1760</v>
      </c>
      <c r="B1839" s="18" t="str">
        <f ca="1">IFERROR(__xludf.DUMMYFUNCTION("GOOGLETRANSLATE(C6126,""en"",""hr"")"),"Fiche mâle")</f>
        <v>Fiche mâle</v>
      </c>
    </row>
    <row r="1840" spans="1:2" x14ac:dyDescent="0.2">
      <c r="A1840" s="21" t="s">
        <v>1158</v>
      </c>
      <c r="B1840" s="18" t="str">
        <f ca="1">IFERROR(__xludf.DUMMYFUNCTION("GOOGLETRANSLATE(C3761,""en"",""hr"")"),"Vijčani spoj crijeva")</f>
        <v>Vijčani spoj crijeva</v>
      </c>
    </row>
    <row r="1841" spans="1:2" x14ac:dyDescent="0.2">
      <c r="A1841" s="21" t="s">
        <v>570</v>
      </c>
      <c r="B1841" s="18" t="str">
        <f ca="1">IFERROR(__xludf.DUMMYFUNCTION("GOOGLETRANSLATE(C1586,""en"",""hr"")"),"Vijčani spoj crijeva")</f>
        <v>Vijčani spoj crijeva</v>
      </c>
    </row>
    <row r="1842" spans="1:2" x14ac:dyDescent="0.2">
      <c r="A1842" s="21" t="s">
        <v>1320</v>
      </c>
      <c r="B1842" s="18" t="str">
        <f ca="1">IFERROR(__xludf.DUMMYFUNCTION("GOOGLETRANSLATE(C4157,""en"",""hr"")"),"Zavoj cijevi")</f>
        <v>Zavoj cijevi</v>
      </c>
    </row>
    <row r="1843" spans="1:2" x14ac:dyDescent="0.2">
      <c r="A1843" s="21" t="s">
        <v>1336</v>
      </c>
      <c r="B1843" s="18" t="str">
        <f ca="1">IFERROR(__xludf.DUMMYFUNCTION("GOOGLETRANSLATE(C4203,""en"",""hr"")"),"Brza spojka")</f>
        <v>Brza spojka</v>
      </c>
    </row>
    <row r="1844" spans="1:2" x14ac:dyDescent="0.2">
      <c r="A1844" s="21" t="s">
        <v>1212</v>
      </c>
      <c r="B1844" s="18" t="str">
        <f ca="1">IFERROR(__xludf.DUMMYFUNCTION("GOOGLETRANSLATE(C3838,""en"",""hr"")"),"Vijčani spoj crijeva")</f>
        <v>Vijčani spoj crijeva</v>
      </c>
    </row>
    <row r="1845" spans="1:2" x14ac:dyDescent="0.2">
      <c r="A1845" s="21" t="s">
        <v>1335</v>
      </c>
      <c r="B1845" s="18" t="str">
        <f ca="1">IFERROR(__xludf.DUMMYFUNCTION("GOOGLETRANSLATE(C4202,""en"",""hr"")"),"Utikač za prikolicu")</f>
        <v>Utikač za prikolicu</v>
      </c>
    </row>
    <row r="1846" spans="1:2" x14ac:dyDescent="0.2">
      <c r="A1846" s="21" t="s">
        <v>1323</v>
      </c>
      <c r="B1846" s="18" t="str">
        <f ca="1">IFERROR(__xludf.DUMMYFUNCTION("GOOGLETRANSLATE(C4161,""en"",""hr"")"),"Brza spojka")</f>
        <v>Brza spojka</v>
      </c>
    </row>
    <row r="1847" spans="1:2" x14ac:dyDescent="0.2">
      <c r="A1847" s="21" t="s">
        <v>1319</v>
      </c>
      <c r="B1847" s="18" t="str">
        <f ca="1">IFERROR(__xludf.DUMMYFUNCTION("GOOGLETRANSLATE(C4156,""en"",""hr"")"),"Brza spojka")</f>
        <v>Brza spojka</v>
      </c>
    </row>
    <row r="1848" spans="1:2" x14ac:dyDescent="0.2">
      <c r="A1848" s="21" t="s">
        <v>1210</v>
      </c>
      <c r="B1848" s="18" t="str">
        <f ca="1">IFERROR(__xludf.DUMMYFUNCTION("GOOGLETRANSLATE(C3835,""en"",""hr"")"),"Priključak crijeva")</f>
        <v>Priključak crijeva</v>
      </c>
    </row>
    <row r="1849" spans="1:2" x14ac:dyDescent="0.2">
      <c r="A1849" s="21" t="s">
        <v>1251</v>
      </c>
      <c r="B1849" s="18" t="str">
        <f ca="1">IFERROR(__xludf.DUMMYFUNCTION("GOOGLETRANSLATE(C3957,""en"",""hr"")"),"O-prsten")</f>
        <v>O-prsten</v>
      </c>
    </row>
    <row r="1850" spans="1:2" x14ac:dyDescent="0.2">
      <c r="A1850" s="21" t="s">
        <v>1084</v>
      </c>
      <c r="B1850" s="18" t="str">
        <f ca="1">IFERROR(__xludf.DUMMYFUNCTION("GOOGLETRANSLATE(C3498,""en"",""hr"")"),"Montaža pregrade")</f>
        <v>Montaža pregrade</v>
      </c>
    </row>
    <row r="1851" spans="1:2" x14ac:dyDescent="0.2">
      <c r="A1851" s="21" t="s">
        <v>1382</v>
      </c>
      <c r="B1851" s="18" t="str">
        <f ca="1">IFERROR(__xludf.DUMMYFUNCTION("GOOGLETRANSLATE(C4378,""en"",""hr"")"),"Schraubdeckel")</f>
        <v>Schraubdeckel</v>
      </c>
    </row>
    <row r="1852" spans="1:2" x14ac:dyDescent="0.2">
      <c r="A1852" s="21" t="s">
        <v>1257</v>
      </c>
      <c r="B1852" s="18" t="str">
        <f ca="1">IFERROR(__xludf.DUMMYFUNCTION("GOOGLETRANSLATE(C3977,""en"",""hr"")"),"Priključak crijeva")</f>
        <v>Priključak crijeva</v>
      </c>
    </row>
    <row r="1853" spans="1:2" x14ac:dyDescent="0.2">
      <c r="A1853" s="21" t="s">
        <v>478</v>
      </c>
      <c r="B1853" s="18" t="str">
        <f ca="1">IFERROR(__xludf.DUMMYFUNCTION("GOOGLETRANSLATE(C1152,""en"",""hr"")"),"Nazuvica za crijevo")</f>
        <v>Nazuvica za crijevo</v>
      </c>
    </row>
    <row r="1854" spans="1:2" x14ac:dyDescent="0.2">
      <c r="A1854" s="21" t="s">
        <v>1071</v>
      </c>
      <c r="B1854" s="18" t="str">
        <f ca="1">IFERROR(__xludf.DUMMYFUNCTION("GOOGLETRANSLATE(C3472,""en"",""hr"")"),"O-prsten")</f>
        <v>O-prsten</v>
      </c>
    </row>
    <row r="1855" spans="1:2" x14ac:dyDescent="0.2">
      <c r="A1855" s="21" t="s">
        <v>1073</v>
      </c>
      <c r="B1855" s="18" t="str">
        <f ca="1">IFERROR(__xludf.DUMMYFUNCTION("GOOGLETRANSLATE(C3474,""en"",""hr"")"),"Isječak")</f>
        <v>Isječak</v>
      </c>
    </row>
    <row r="1856" spans="1:2" x14ac:dyDescent="0.2">
      <c r="A1856" s="21" t="s">
        <v>1149</v>
      </c>
      <c r="B1856" s="18" t="str">
        <f ca="1">IFERROR(__xludf.DUMMYFUNCTION("GOOGLETRANSLATE(C3724,""en"",""hr"")"),"Grommet")</f>
        <v>Grommet</v>
      </c>
    </row>
    <row r="1857" spans="1:2" x14ac:dyDescent="0.2">
      <c r="A1857" s="21" t="s">
        <v>1072</v>
      </c>
      <c r="B1857" s="18" t="str">
        <f ca="1">IFERROR(__xludf.DUMMYFUNCTION("GOOGLETRANSLATE(C3473,""en"",""hr"")"),"Komad s navojem")</f>
        <v>Komad s navojem</v>
      </c>
    </row>
    <row r="1858" spans="1:2" x14ac:dyDescent="0.2">
      <c r="A1858" s="21" t="s">
        <v>1148</v>
      </c>
      <c r="B1858" s="18" t="str">
        <f ca="1">IFERROR(__xludf.DUMMYFUNCTION("GOOGLETRANSLATE(C3718,""en"",""hr"")"),"Ventil")</f>
        <v>Ventil</v>
      </c>
    </row>
    <row r="1859" spans="1:2" x14ac:dyDescent="0.2">
      <c r="A1859" s="21" t="s">
        <v>1246</v>
      </c>
      <c r="B1859" s="18" t="str">
        <f ca="1">IFERROR(__xludf.DUMMYFUNCTION("GOOGLETRANSLATE(C3952,""en"",""hr"")"),"Rukav")</f>
        <v>Rukav</v>
      </c>
    </row>
    <row r="1860" spans="1:2" x14ac:dyDescent="0.2">
      <c r="A1860" s="21" t="s">
        <v>1264</v>
      </c>
      <c r="B1860" s="18" t="str">
        <f ca="1">IFERROR(__xludf.DUMMYFUNCTION("GOOGLETRANSLATE(C3994,""en"",""hr"")"),"Priključak crijeva")</f>
        <v>Priključak crijeva</v>
      </c>
    </row>
    <row r="1861" spans="1:2" x14ac:dyDescent="0.2">
      <c r="A1861" s="21" t="s">
        <v>582</v>
      </c>
      <c r="B1861" s="18" t="str">
        <f ca="1">IFERROR(__xludf.DUMMYFUNCTION("GOOGLETRANSLATE(C1619,""en"",""hr"")"),"Koljeno prirubnice")</f>
        <v>Koljeno prirubnice</v>
      </c>
    </row>
    <row r="1862" spans="1:2" x14ac:dyDescent="0.2">
      <c r="A1862" s="21" t="s">
        <v>571</v>
      </c>
      <c r="B1862" s="18" t="str">
        <f ca="1">IFERROR(__xludf.DUMMYFUNCTION("GOOGLETRANSLATE(C1589,""en"",""hr"")"),"Veza")</f>
        <v>Veza</v>
      </c>
    </row>
    <row r="1863" spans="1:2" x14ac:dyDescent="0.2">
      <c r="A1863" s="21" t="s">
        <v>265</v>
      </c>
      <c r="B1863" s="18" t="str">
        <f ca="1">IFERROR(__xludf.DUMMYFUNCTION("GOOGLETRANSLATE(C579,""en"",""hr"")"),"Šuplji vijak")</f>
        <v>Šuplji vijak</v>
      </c>
    </row>
    <row r="1864" spans="1:2" x14ac:dyDescent="0.2">
      <c r="A1864" s="21" t="s">
        <v>255</v>
      </c>
      <c r="B1864" s="18" t="str">
        <f ca="1">IFERROR(__xludf.DUMMYFUNCTION("GOOGLETRANSLATE(C553,""en"",""hr"")"),"Šuplji vijak")</f>
        <v>Šuplji vijak</v>
      </c>
    </row>
    <row r="1865" spans="1:2" x14ac:dyDescent="0.2">
      <c r="A1865" s="21" t="s">
        <v>1368</v>
      </c>
      <c r="B1865" s="18" t="str">
        <f ca="1">IFERROR(__xludf.DUMMYFUNCTION("GOOGLETRANSLATE(C4344,""en"",""hr"")"),"Spoj s navojem")</f>
        <v>Spoj s navojem</v>
      </c>
    </row>
    <row r="1866" spans="1:2" x14ac:dyDescent="0.2">
      <c r="A1866" s="21" t="s">
        <v>1147</v>
      </c>
      <c r="B1866" s="18" t="str">
        <f ca="1">IFERROR(__xludf.DUMMYFUNCTION("GOOGLETRANSLATE(C3713,""en"",""hr"")"),"Montaža pregrade")</f>
        <v>Montaža pregrade</v>
      </c>
    </row>
    <row r="1867" spans="1:2" x14ac:dyDescent="0.2">
      <c r="A1867" s="21" t="s">
        <v>485</v>
      </c>
      <c r="B1867" s="18" t="str">
        <f ca="1">IFERROR(__xludf.DUMMYFUNCTION("GOOGLETRANSLATE(C1166,""en"",""hr"")"),"Nazuvica za crijevo")</f>
        <v>Nazuvica za crijevo</v>
      </c>
    </row>
    <row r="1868" spans="1:2" x14ac:dyDescent="0.2">
      <c r="A1868" s="21" t="s">
        <v>361</v>
      </c>
      <c r="B1868" s="18" t="str">
        <f ca="1">IFERROR(__xludf.DUMMYFUNCTION("GOOGLETRANSLATE(C819,""en"",""hr"")"),"Veza")</f>
        <v>Veza</v>
      </c>
    </row>
    <row r="1869" spans="1:2" x14ac:dyDescent="0.2">
      <c r="A1869" s="21" t="s">
        <v>418</v>
      </c>
      <c r="B1869" s="18" t="str">
        <f ca="1">IFERROR(__xludf.DUMMYFUNCTION("GOOGLETRANSLATE(C990,""en"",""hr"")"),"Okretna matica")</f>
        <v>Okretna matica</v>
      </c>
    </row>
    <row r="1870" spans="1:2" x14ac:dyDescent="0.2">
      <c r="A1870" s="21" t="s">
        <v>360</v>
      </c>
      <c r="B1870" s="18" t="str">
        <f ca="1">IFERROR(__xludf.DUMMYFUNCTION("GOOGLETRANSLATE(C818,""en"",""hr"")"),"Veza")</f>
        <v>Veza</v>
      </c>
    </row>
    <row r="1871" spans="1:2" x14ac:dyDescent="0.2">
      <c r="A1871" s="21" t="s">
        <v>385</v>
      </c>
      <c r="B1871" s="18" t="str">
        <f ca="1">IFERROR(__xludf.DUMMYFUNCTION("GOOGLETRANSLATE(C888,""en"",""hr"")"),"Autobusni bar")</f>
        <v>Autobusni bar</v>
      </c>
    </row>
    <row r="1872" spans="1:2" x14ac:dyDescent="0.2">
      <c r="A1872" s="21" t="s">
        <v>568</v>
      </c>
      <c r="B1872" s="18" t="str">
        <f ca="1">IFERROR(__xludf.DUMMYFUNCTION("GOOGLETRANSLATE(C1584,""en"",""hr"")"),"Utični spoj")</f>
        <v>Utični spoj</v>
      </c>
    </row>
    <row r="1873" spans="1:2" x14ac:dyDescent="0.2">
      <c r="A1873" s="21" t="s">
        <v>194</v>
      </c>
      <c r="B1873" s="18" t="str">
        <f ca="1">IFERROR(__xludf.DUMMYFUNCTION("GOOGLETRANSLATE(C422,""en"",""hr"")"),"Šuplji vijak")</f>
        <v>Šuplji vijak</v>
      </c>
    </row>
    <row r="1874" spans="1:2" x14ac:dyDescent="0.2">
      <c r="A1874" s="21" t="s">
        <v>1428</v>
      </c>
      <c r="B1874" s="18" t="str">
        <f ca="1">IFERROR(__xludf.DUMMYFUNCTION("GOOGLETRANSLATE(C4641,""en"",""hr"")"),"Spojnica")</f>
        <v>Spojnica</v>
      </c>
    </row>
    <row r="1875" spans="1:2" x14ac:dyDescent="0.2">
      <c r="A1875" s="21" t="s">
        <v>1069</v>
      </c>
      <c r="B1875" s="18" t="str">
        <f ca="1">IFERROR(__xludf.DUMMYFUNCTION("GOOGLETRANSLATE(C3470,""en"",""hr"")"),"Priključak s navojem")</f>
        <v>Priključak s navojem</v>
      </c>
    </row>
    <row r="1876" spans="1:2" x14ac:dyDescent="0.2">
      <c r="A1876" s="21" t="s">
        <v>1074</v>
      </c>
      <c r="B1876" s="18" t="str">
        <f ca="1">IFERROR(__xludf.DUMMYFUNCTION("GOOGLETRANSLATE(C3475,""en"",""hr"")"),"Isječak")</f>
        <v>Isječak</v>
      </c>
    </row>
    <row r="1877" spans="1:2" x14ac:dyDescent="0.2">
      <c r="A1877" s="21" t="s">
        <v>1068</v>
      </c>
      <c r="B1877" s="18" t="str">
        <f ca="1">IFERROR(__xludf.DUMMYFUNCTION("GOOGLETRANSLATE(C3469,""en"",""hr"")"),"O-prsten")</f>
        <v>O-prsten</v>
      </c>
    </row>
    <row r="1878" spans="1:2" x14ac:dyDescent="0.2">
      <c r="A1878" s="21" t="s">
        <v>1265</v>
      </c>
      <c r="B1878" s="18" t="str">
        <f ca="1">IFERROR(__xludf.DUMMYFUNCTION("GOOGLETRANSLATE(C3996,""en"",""hr"")"),"Veza")</f>
        <v>Veza</v>
      </c>
    </row>
    <row r="1879" spans="1:2" x14ac:dyDescent="0.2">
      <c r="A1879" s="21" t="s">
        <v>1207</v>
      </c>
      <c r="B1879" s="18" t="str">
        <f ca="1">IFERROR(__xludf.DUMMYFUNCTION("GOOGLETRANSLATE(C3829,""en"",""hr"")"),"Priključak crijeva")</f>
        <v>Priključak crijeva</v>
      </c>
    </row>
    <row r="1880" spans="1:2" x14ac:dyDescent="0.2">
      <c r="A1880" s="21" t="s">
        <v>1139</v>
      </c>
      <c r="B1880" s="18" t="str">
        <f ca="1">IFERROR(__xludf.DUMMYFUNCTION("GOOGLETRANSLATE(C3701,""en"",""hr"")"),"Priključak crijeva")</f>
        <v>Priključak crijeva</v>
      </c>
    </row>
    <row r="1881" spans="1:2" x14ac:dyDescent="0.2">
      <c r="A1881" s="21" t="s">
        <v>1075</v>
      </c>
      <c r="B1881" s="18" t="str">
        <f ca="1">IFERROR(__xludf.DUMMYFUNCTION("GOOGLETRANSLATE(C3476,""en"",""hr"")"),"Utikač za utikač")</f>
        <v>Utikač za utikač</v>
      </c>
    </row>
    <row r="1882" spans="1:2" x14ac:dyDescent="0.2">
      <c r="A1882" s="21" t="s">
        <v>436</v>
      </c>
      <c r="B1882" s="18" t="str">
        <f ca="1">IFERROR(__xludf.DUMMYFUNCTION("GOOGLETRANSLATE(C1052,""en"",""hr"")"),"Nazuvica za crijevo")</f>
        <v>Nazuvica za crijevo</v>
      </c>
    </row>
    <row r="1883" spans="1:2" x14ac:dyDescent="0.2">
      <c r="A1883" s="21" t="s">
        <v>444</v>
      </c>
      <c r="B1883" s="18" t="str">
        <f ca="1">IFERROR(__xludf.DUMMYFUNCTION("GOOGLETRANSLATE(C1066,""en"",""hr"")"),"Nazuvica za crijevo")</f>
        <v>Nazuvica za crijevo</v>
      </c>
    </row>
    <row r="1884" spans="1:2" x14ac:dyDescent="0.2">
      <c r="A1884" s="21" t="s">
        <v>435</v>
      </c>
      <c r="B1884" s="18" t="str">
        <f ca="1">IFERROR(__xludf.DUMMYFUNCTION("GOOGLETRANSLATE(C1051,""en"",""hr"")"),"Priključak crijeva")</f>
        <v>Priključak crijeva</v>
      </c>
    </row>
    <row r="1885" spans="1:2" x14ac:dyDescent="0.2">
      <c r="A1885" s="21" t="s">
        <v>437</v>
      </c>
      <c r="B1885" s="18" t="str">
        <f ca="1">IFERROR(__xludf.DUMMYFUNCTION("GOOGLETRANSLATE(C1053,""en"",""hr"")"),"Šuplji vijak")</f>
        <v>Šuplji vijak</v>
      </c>
    </row>
    <row r="1886" spans="1:2" x14ac:dyDescent="0.2">
      <c r="A1886" s="21" t="s">
        <v>259</v>
      </c>
      <c r="B1886" s="18" t="str">
        <f ca="1">IFERROR(__xludf.DUMMYFUNCTION("GOOGLETRANSLATE(C559,""en"",""hr"")"),"Šuplji vijak")</f>
        <v>Šuplji vijak</v>
      </c>
    </row>
    <row r="1887" spans="1:2" x14ac:dyDescent="0.2">
      <c r="A1887" s="21" t="s">
        <v>392</v>
      </c>
      <c r="B1887" s="18" t="str">
        <f ca="1">IFERROR(__xludf.DUMMYFUNCTION("GOOGLETRANSLATE(C925,""en"",""hr"")"),"Šuplji vijak")</f>
        <v>Šuplji vijak</v>
      </c>
    </row>
    <row r="1888" spans="1:2" x14ac:dyDescent="0.2">
      <c r="A1888" s="21" t="s">
        <v>393</v>
      </c>
      <c r="B1888" s="18" t="str">
        <f ca="1">IFERROR(__xludf.DUMMYFUNCTION("GOOGLETRANSLATE(C926,""en"",""hr"")"),"Nazuvica za crijevo")</f>
        <v>Nazuvica za crijevo</v>
      </c>
    </row>
    <row r="1889" spans="1:2" x14ac:dyDescent="0.2">
      <c r="A1889" s="21" t="s">
        <v>588</v>
      </c>
      <c r="B1889" s="18" t="str">
        <f ca="1">IFERROR(__xludf.DUMMYFUNCTION("GOOGLETRANSLATE(C1680,""en"",""hr"")"),"Nazuvica za crijevo")</f>
        <v>Nazuvica za crijevo</v>
      </c>
    </row>
    <row r="1890" spans="1:2" x14ac:dyDescent="0.2">
      <c r="A1890" s="21" t="s">
        <v>1096</v>
      </c>
      <c r="B1890" s="18" t="str">
        <f ca="1">IFERROR(__xludf.DUMMYFUNCTION("GOOGLETRANSLATE(C3552,""en"",""hr"")"),"Priključak crijeva")</f>
        <v>Priključak crijeva</v>
      </c>
    </row>
    <row r="1891" spans="1:2" x14ac:dyDescent="0.2">
      <c r="A1891" s="21" t="s">
        <v>563</v>
      </c>
      <c r="B1891" s="18" t="str">
        <f ca="1">IFERROR(__xludf.DUMMYFUNCTION("GOOGLETRANSLATE(C1579,""en"",""hr"")"),"T-nazuvica za crijevo")</f>
        <v>T-nazuvica za crijevo</v>
      </c>
    </row>
    <row r="1892" spans="1:2" x14ac:dyDescent="0.2">
      <c r="A1892" s="21" t="s">
        <v>577</v>
      </c>
      <c r="B1892" s="18" t="str">
        <f ca="1">IFERROR(__xludf.DUMMYFUNCTION("GOOGLETRANSLATE(C1605,""en"",""hr"")"),"Y priključak za crijevo")</f>
        <v>Y priključak za crijevo</v>
      </c>
    </row>
    <row r="1893" spans="1:2" x14ac:dyDescent="0.2">
      <c r="A1893" s="21" t="s">
        <v>1127</v>
      </c>
      <c r="B1893" s="18" t="str">
        <f ca="1">IFERROR(__xludf.DUMMYFUNCTION("GOOGLETRANSLATE(C3665,""en"",""hr"")"),"Ravni uvrtni vijčani spoj")</f>
        <v>Ravni uvrtni vijčani spoj</v>
      </c>
    </row>
    <row r="1894" spans="1:2" x14ac:dyDescent="0.2">
      <c r="A1894" s="21" t="s">
        <v>1103</v>
      </c>
      <c r="B1894" s="18" t="str">
        <f ca="1">IFERROR(__xludf.DUMMYFUNCTION("GOOGLETRANSLATE(C3573,""en"",""hr"")"),"Ravni uvrtni vijčani spoj")</f>
        <v>Ravni uvrtni vijčani spoj</v>
      </c>
    </row>
    <row r="1895" spans="1:2" x14ac:dyDescent="0.2">
      <c r="A1895" s="21" t="s">
        <v>1094</v>
      </c>
      <c r="B1895" s="18" t="str">
        <f ca="1">IFERROR(__xludf.DUMMYFUNCTION("GOOGLETRANSLATE(C3543,""en"",""hr"")"),"Kutni priključak crijeva")</f>
        <v>Kutni priključak crijeva</v>
      </c>
    </row>
    <row r="1896" spans="1:2" x14ac:dyDescent="0.2">
      <c r="A1896" s="21" t="s">
        <v>262</v>
      </c>
      <c r="B1896" s="18" t="str">
        <f ca="1">IFERROR(__xludf.DUMMYFUNCTION("GOOGLETRANSLATE(C572,""en"",""hr"")"),"Šuplji vijak")</f>
        <v>Šuplji vijak</v>
      </c>
    </row>
    <row r="1897" spans="1:2" x14ac:dyDescent="0.2">
      <c r="A1897" s="21" t="s">
        <v>564</v>
      </c>
      <c r="B1897" s="18" t="str">
        <f ca="1">IFERROR(__xludf.DUMMYFUNCTION("GOOGLETRANSLATE(C1580,""en"",""hr"")"),"Veza")</f>
        <v>Veza</v>
      </c>
    </row>
    <row r="1898" spans="1:2" x14ac:dyDescent="0.2">
      <c r="A1898" s="21" t="s">
        <v>1095</v>
      </c>
      <c r="B1898" s="18" t="str">
        <f ca="1">IFERROR(__xludf.DUMMYFUNCTION("GOOGLETRANSLATE(C3549,""en"",""hr"")"),"klizna vrata")</f>
        <v>klizna vrata</v>
      </c>
    </row>
    <row r="1899" spans="1:2" x14ac:dyDescent="0.2">
      <c r="A1899" s="21" t="s">
        <v>279</v>
      </c>
      <c r="B1899" s="18" t="str">
        <f ca="1">IFERROR(__xludf.DUMMYFUNCTION("GOOGLETRANSLATE(C610,""en"",""hr"")"),"Veza")</f>
        <v>Veza</v>
      </c>
    </row>
    <row r="1900" spans="1:2" x14ac:dyDescent="0.2">
      <c r="A1900" s="21" t="s">
        <v>1161</v>
      </c>
      <c r="B1900" s="18" t="str">
        <f ca="1">IFERROR(__xludf.DUMMYFUNCTION("GOOGLETRANSLATE(C3768,""en"",""hr"")"),"Priključak crijeva")</f>
        <v>Priključak crijeva</v>
      </c>
    </row>
    <row r="1901" spans="1:2" x14ac:dyDescent="0.2">
      <c r="A1901" s="21" t="s">
        <v>1124</v>
      </c>
      <c r="B1901" s="18" t="str">
        <f ca="1">IFERROR(__xludf.DUMMYFUNCTION("GOOGLETRANSLATE(C3661,""en"",""hr"")"),"Veza")</f>
        <v>Veza</v>
      </c>
    </row>
    <row r="1902" spans="1:2" x14ac:dyDescent="0.2">
      <c r="A1902" s="21" t="s">
        <v>415</v>
      </c>
      <c r="B1902" s="18" t="str">
        <f ca="1">IFERROR(__xludf.DUMMYFUNCTION("GOOGLETRANSLATE(C987,""en"",""hr"")"),"Priključak crijeva")</f>
        <v>Priključak crijeva</v>
      </c>
    </row>
    <row r="1903" spans="1:2" x14ac:dyDescent="0.2">
      <c r="A1903" s="21" t="s">
        <v>1102</v>
      </c>
      <c r="B1903" s="18" t="str">
        <f ca="1">IFERROR(__xludf.DUMMYFUNCTION("GOOGLETRANSLATE(C3571,""en"",""hr"")"),"Priključak crijeva")</f>
        <v>Priključak crijeva</v>
      </c>
    </row>
    <row r="1904" spans="1:2" x14ac:dyDescent="0.2">
      <c r="A1904" s="21" t="s">
        <v>576</v>
      </c>
      <c r="B1904" s="18" t="str">
        <f ca="1">IFERROR(__xludf.DUMMYFUNCTION("GOOGLETRANSLATE(C1601,""en"",""hr"")"),"Spojni dio Y-cijevi")</f>
        <v>Spojni dio Y-cijevi</v>
      </c>
    </row>
    <row r="1905" spans="1:2" x14ac:dyDescent="0.2">
      <c r="A1905" s="21" t="s">
        <v>359</v>
      </c>
      <c r="B1905" s="18" t="str">
        <f ca="1">IFERROR(__xludf.DUMMYFUNCTION("GOOGLETRANSLATE(C817,""en"",""hr"")"),"Rotirajuća spojka")</f>
        <v>Rotirajuća spojka</v>
      </c>
    </row>
    <row r="1906" spans="1:2" x14ac:dyDescent="0.2">
      <c r="A1906" s="21" t="s">
        <v>358</v>
      </c>
      <c r="B1906" s="18" t="str">
        <f ca="1">IFERROR(__xludf.DUMMYFUNCTION("GOOGLETRANSLATE(C816,""en"",""hr"")"),"Uklapanje")</f>
        <v>Uklapanje</v>
      </c>
    </row>
    <row r="1907" spans="1:2" x14ac:dyDescent="0.2">
      <c r="A1907" s="21" t="s">
        <v>1671</v>
      </c>
      <c r="B1907" s="18" t="str">
        <f ca="1">IFERROR(__xludf.DUMMYFUNCTION("GOOGLETRANSLATE(C5768,""en"",""hr"")"),"Pritisnite Nippel")</f>
        <v>Pritisnite Nippel</v>
      </c>
    </row>
    <row r="1908" spans="1:2" x14ac:dyDescent="0.2">
      <c r="A1908" s="21" t="s">
        <v>513</v>
      </c>
      <c r="B1908" s="18" t="str">
        <f ca="1">IFERROR(__xludf.DUMMYFUNCTION("GOOGLETRANSLATE(C1302,""en"",""hr"")"),"Veza")</f>
        <v>Veza</v>
      </c>
    </row>
    <row r="1909" spans="1:2" x14ac:dyDescent="0.2">
      <c r="A1909" s="21" t="s">
        <v>1375</v>
      </c>
      <c r="B1909" s="18" t="str">
        <f ca="1">IFERROR(__xludf.DUMMYFUNCTION("GOOGLETRANSLATE(C4355,""en"",""hr"")"),"Šuplji vijak")</f>
        <v>Šuplji vijak</v>
      </c>
    </row>
    <row r="1910" spans="1:2" x14ac:dyDescent="0.2">
      <c r="A1910" s="21" t="s">
        <v>481</v>
      </c>
      <c r="B1910" s="18" t="str">
        <f ca="1">IFERROR(__xludf.DUMMYFUNCTION("GOOGLETRANSLATE(C1160,""en"",""hr"")"),"Nazuvica za crijevo")</f>
        <v>Nazuvica za crijevo</v>
      </c>
    </row>
    <row r="1911" spans="1:2" x14ac:dyDescent="0.2">
      <c r="A1911" s="21" t="s">
        <v>605</v>
      </c>
      <c r="B1911" s="18" t="str">
        <f ca="1">IFERROR(__xludf.DUMMYFUNCTION("GOOGLETRANSLATE(C1847,""en"",""hr"")"),"Nazuvica za crijevo")</f>
        <v>Nazuvica za crijevo</v>
      </c>
    </row>
    <row r="1912" spans="1:2" x14ac:dyDescent="0.2">
      <c r="A1912" s="21" t="s">
        <v>1224</v>
      </c>
      <c r="B1912" s="18" t="str">
        <f ca="1">IFERROR(__xludf.DUMMYFUNCTION("GOOGLETRANSLATE(C3867,""en"",""hr"")"),"Okretni zglob")</f>
        <v>Okretni zglob</v>
      </c>
    </row>
    <row r="1913" spans="1:2" x14ac:dyDescent="0.2">
      <c r="A1913" s="21" t="s">
        <v>1255</v>
      </c>
      <c r="B1913" s="18" t="str">
        <f ca="1">IFERROR(__xludf.DUMMYFUNCTION("GOOGLETRANSLATE(C3970,""en"",""hr"")"),"Priključak crijeva")</f>
        <v>Priključak crijeva</v>
      </c>
    </row>
    <row r="1914" spans="1:2" x14ac:dyDescent="0.2">
      <c r="A1914" s="21" t="s">
        <v>1086</v>
      </c>
      <c r="B1914" s="18" t="str">
        <f ca="1">IFERROR(__xludf.DUMMYFUNCTION("GOOGLETRANSLATE(C3504,""en"",""hr"")"),"O-prsten")</f>
        <v>O-prsten</v>
      </c>
    </row>
    <row r="1915" spans="1:2" x14ac:dyDescent="0.2">
      <c r="A1915" s="21" t="s">
        <v>1077</v>
      </c>
      <c r="B1915" s="18" t="str">
        <f ca="1">IFERROR(__xludf.DUMMYFUNCTION("GOOGLETRANSLATE(C3478,""en"",""hr"")"),"brtva")</f>
        <v>brtva</v>
      </c>
    </row>
    <row r="1916" spans="1:2" x14ac:dyDescent="0.2">
      <c r="A1916" s="21" t="s">
        <v>1067</v>
      </c>
      <c r="B1916" s="18" t="str">
        <f ca="1">IFERROR(__xludf.DUMMYFUNCTION("GOOGLETRANSLATE(C3468,""en"",""hr"")"),"brtva")</f>
        <v>brtva</v>
      </c>
    </row>
    <row r="1917" spans="1:2" x14ac:dyDescent="0.2">
      <c r="A1917" s="21" t="s">
        <v>1372</v>
      </c>
      <c r="B1917" s="18" t="str">
        <f ca="1">IFERROR(__xludf.DUMMYFUNCTION("GOOGLETRANSLATE(C4348,""en"",""hr"")"),"Spojka")</f>
        <v>Spojka</v>
      </c>
    </row>
    <row r="1918" spans="1:2" x14ac:dyDescent="0.2">
      <c r="A1918" s="21" t="s">
        <v>1369</v>
      </c>
      <c r="B1918" s="18" t="str">
        <f ca="1">IFERROR(__xludf.DUMMYFUNCTION("GOOGLETRANSLATE(C4345,""en"",""hr"")"),"O-prsten")</f>
        <v>O-prsten</v>
      </c>
    </row>
    <row r="1919" spans="1:2" x14ac:dyDescent="0.2">
      <c r="A1919" s="21" t="s">
        <v>1070</v>
      </c>
      <c r="B1919" s="18" t="str">
        <f ca="1">IFERROR(__xludf.DUMMYFUNCTION("GOOGLETRANSLATE(C3471,""en"",""hr"")"),"brtva")</f>
        <v>brtva</v>
      </c>
    </row>
    <row r="1920" spans="1:2" x14ac:dyDescent="0.2">
      <c r="A1920" s="21" t="s">
        <v>1098</v>
      </c>
      <c r="B1920" s="18" t="str">
        <f ca="1">IFERROR(__xludf.DUMMYFUNCTION("GOOGLETRANSLATE(C3555,""en"",""hr"")"),"Ravna brtva")</f>
        <v>Ravna brtva</v>
      </c>
    </row>
    <row r="1921" spans="1:2" x14ac:dyDescent="0.2">
      <c r="A1921" s="21" t="s">
        <v>1104</v>
      </c>
      <c r="B1921" s="18" t="str">
        <f ca="1">IFERROR(__xludf.DUMMYFUNCTION("GOOGLETRANSLATE(C3574,""en"",""hr"")"),"Navojna kapica")</f>
        <v>Navojna kapica</v>
      </c>
    </row>
    <row r="1922" spans="1:2" x14ac:dyDescent="0.2">
      <c r="A1922" s="21" t="s">
        <v>1076</v>
      </c>
      <c r="B1922" s="18" t="str">
        <f ca="1">IFERROR(__xludf.DUMMYFUNCTION("GOOGLETRANSLATE(C3477,""en"",""hr"")"),"Priključak s navojem")</f>
        <v>Priključak s navojem</v>
      </c>
    </row>
    <row r="1923" spans="1:2" x14ac:dyDescent="0.2">
      <c r="A1923" s="21" t="s">
        <v>1078</v>
      </c>
      <c r="B1923" s="18" t="str">
        <f ca="1">IFERROR(__xludf.DUMMYFUNCTION("GOOGLETRANSLATE(C3479,""en"",""hr"")"),"Isječak")</f>
        <v>Isječak</v>
      </c>
    </row>
    <row r="1924" spans="1:2" x14ac:dyDescent="0.2">
      <c r="A1924" s="21" t="s">
        <v>1085</v>
      </c>
      <c r="B1924" s="18" t="str">
        <f ca="1">IFERROR(__xludf.DUMMYFUNCTION("GOOGLETRANSLATE(C3499,""en"",""hr"")"),"Lakat")</f>
        <v>Lakat</v>
      </c>
    </row>
    <row r="1925" spans="1:2" x14ac:dyDescent="0.2">
      <c r="A1925" s="21" t="s">
        <v>1079</v>
      </c>
      <c r="B1925" s="18" t="str">
        <f ca="1">IFERROR(__xludf.DUMMYFUNCTION("GOOGLETRANSLATE(C3480,""en"",""hr"")"),"Lažni utikač")</f>
        <v>Lažni utikač</v>
      </c>
    </row>
    <row r="1926" spans="1:2" x14ac:dyDescent="0.2">
      <c r="A1926" s="21" t="s">
        <v>1080</v>
      </c>
      <c r="B1926" s="18" t="str">
        <f ca="1">IFERROR(__xludf.DUMMYFUNCTION("GOOGLETRANSLATE(C3481,""en"",""hr"")"),"brtva")</f>
        <v>brtva</v>
      </c>
    </row>
    <row r="1927" spans="1:2" x14ac:dyDescent="0.2">
      <c r="A1927" s="21" t="s">
        <v>1083</v>
      </c>
      <c r="B1927" s="18" t="str">
        <f ca="1">IFERROR(__xludf.DUMMYFUNCTION("GOOGLETRANSLATE(C3492,""en"",""hr"")"),"Priključak crijeva")</f>
        <v>Priključak crijeva</v>
      </c>
    </row>
    <row r="1928" spans="1:2" x14ac:dyDescent="0.2">
      <c r="A1928" s="21" t="s">
        <v>1256</v>
      </c>
      <c r="B1928" s="18" t="str">
        <f ca="1">IFERROR(__xludf.DUMMYFUNCTION("GOOGLETRANSLATE(C3971,""en"",""hr"")"),"Priključak crijeva")</f>
        <v>Priključak crijeva</v>
      </c>
    </row>
    <row r="1929" spans="1:2" x14ac:dyDescent="0.2">
      <c r="A1929" s="21" t="s">
        <v>1144</v>
      </c>
      <c r="B1929" s="18" t="str">
        <f ca="1">IFERROR(__xludf.DUMMYFUNCTION("GOOGLETRANSLATE(C3707,""en"",""hr"")"),"Priključak crijeva")</f>
        <v>Priključak crijeva</v>
      </c>
    </row>
    <row r="1930" spans="1:2" x14ac:dyDescent="0.2">
      <c r="A1930" s="21" t="s">
        <v>1082</v>
      </c>
      <c r="B1930" s="18" t="str">
        <f ca="1">IFERROR(__xludf.DUMMYFUNCTION("GOOGLETRANSLATE(C3491,""en"",""hr"")"),"Priključak crijeva")</f>
        <v>Priključak crijeva</v>
      </c>
    </row>
    <row r="1931" spans="1:2" x14ac:dyDescent="0.2">
      <c r="A1931" s="21" t="s">
        <v>1661</v>
      </c>
      <c r="B1931" s="18" t="str">
        <f ca="1">IFERROR(__xludf.DUMMYFUNCTION("GOOGLETRANSLATE(C5651,""en"",""hr"")"),"T-nazuvica za crijevo")</f>
        <v>T-nazuvica za crijevo</v>
      </c>
    </row>
    <row r="1932" spans="1:2" x14ac:dyDescent="0.2">
      <c r="A1932" s="21" t="s">
        <v>1371</v>
      </c>
      <c r="B1932" s="18" t="str">
        <f ca="1">IFERROR(__xludf.DUMMYFUNCTION("GOOGLETRANSLATE(C4347,""en"",""hr"")"),"Distributer")</f>
        <v>Distributer</v>
      </c>
    </row>
    <row r="1933" spans="1:2" x14ac:dyDescent="0.2">
      <c r="A1933" s="21" t="s">
        <v>1370</v>
      </c>
      <c r="B1933" s="18" t="str">
        <f ca="1">IFERROR(__xludf.DUMMYFUNCTION("GOOGLETRANSLATE(C4346,""en"",""hr"")"),"Utikač")</f>
        <v>Utikač</v>
      </c>
    </row>
    <row r="1934" spans="1:2" x14ac:dyDescent="0.2">
      <c r="A1934" s="21" t="s">
        <v>566</v>
      </c>
      <c r="B1934" s="18" t="str">
        <f ca="1">IFERROR(__xludf.DUMMYFUNCTION("GOOGLETRANSLATE(C1582,""en"",""hr"")"),"Nazuvica za crijevo")</f>
        <v>Nazuvica za crijevo</v>
      </c>
    </row>
    <row r="1935" spans="1:2" x14ac:dyDescent="0.2">
      <c r="A1935" s="21" t="s">
        <v>567</v>
      </c>
      <c r="B1935" s="18" t="str">
        <f ca="1">IFERROR(__xludf.DUMMYFUNCTION("GOOGLETRANSLATE(C1583,""en"",""hr"")"),"Smanjenje sindikata")</f>
        <v>Smanjenje sindikata</v>
      </c>
    </row>
    <row r="1936" spans="1:2" x14ac:dyDescent="0.2">
      <c r="A1936" s="21" t="s">
        <v>368</v>
      </c>
      <c r="B1936" s="18" t="str">
        <f ca="1">IFERROR(__xludf.DUMMYFUNCTION("GOOGLETRANSLATE(C826,""en"",""hr"")"),"Zaštitna kapa")</f>
        <v>Zaštitna kapa</v>
      </c>
    </row>
    <row r="1937" spans="1:2" x14ac:dyDescent="0.2">
      <c r="A1937" s="21" t="s">
        <v>515</v>
      </c>
      <c r="B1937" s="18" t="str">
        <f ca="1">IFERROR(__xludf.DUMMYFUNCTION("GOOGLETRANSLATE(C1322,""en"",""hr"")"),"Brza spojka")</f>
        <v>Brza spojka</v>
      </c>
    </row>
    <row r="1938" spans="1:2" x14ac:dyDescent="0.2">
      <c r="A1938" s="21" t="s">
        <v>514</v>
      </c>
      <c r="B1938" s="18" t="str">
        <f ca="1">IFERROR(__xludf.DUMMYFUNCTION("GOOGLETRANSLATE(C1321,""en"",""hr"")"),"Brza spojka")</f>
        <v>Brza spojka</v>
      </c>
    </row>
    <row r="1939" spans="1:2" x14ac:dyDescent="0.2">
      <c r="A1939" s="21" t="s">
        <v>1285</v>
      </c>
      <c r="B1939" s="18" t="str">
        <f ca="1">IFERROR(__xludf.DUMMYFUNCTION("GOOGLETRANSLATE(C4018,""en"",""hr"")"),"Autobusni bar")</f>
        <v>Autobusni bar</v>
      </c>
    </row>
    <row r="1940" spans="1:2" x14ac:dyDescent="0.2">
      <c r="A1940" s="21" t="s">
        <v>1431</v>
      </c>
      <c r="B1940" s="18" t="str">
        <f ca="1">IFERROR(__xludf.DUMMYFUNCTION("GOOGLETRANSLATE(C4650,""en"",""hr"")"),"Poklopac")</f>
        <v>Poklopac</v>
      </c>
    </row>
    <row r="1941" spans="1:2" x14ac:dyDescent="0.2">
      <c r="A1941" s="21" t="s">
        <v>238</v>
      </c>
      <c r="B1941" s="18" t="str">
        <f ca="1">IFERROR(__xludf.DUMMYFUNCTION("GOOGLETRANSLATE(C503,""en"",""hr"")"),"Cu brtva")</f>
        <v>Cu brtva</v>
      </c>
    </row>
    <row r="1942" spans="1:2" x14ac:dyDescent="0.2">
      <c r="A1942" s="21" t="s">
        <v>357</v>
      </c>
      <c r="B1942" s="18" t="str">
        <f ca="1">IFERROR(__xludf.DUMMYFUNCTION("GOOGLETRANSLATE(C815,""en"",""hr"")"),"Cu brtva")</f>
        <v>Cu brtva</v>
      </c>
    </row>
    <row r="1943" spans="1:2" x14ac:dyDescent="0.2">
      <c r="A1943" s="21" t="s">
        <v>267</v>
      </c>
      <c r="B1943" s="18" t="str">
        <f ca="1">IFERROR(__xludf.DUMMYFUNCTION("GOOGLETRANSLATE(C581,""en"",""hr"")"),"Cu brtva")</f>
        <v>Cu brtva</v>
      </c>
    </row>
    <row r="1944" spans="1:2" x14ac:dyDescent="0.2">
      <c r="A1944" s="21" t="s">
        <v>269</v>
      </c>
      <c r="B1944" s="18" t="str">
        <f ca="1">IFERROR(__xludf.DUMMYFUNCTION("GOOGLETRANSLATE(C597,""en"",""hr"")"),"brtva")</f>
        <v>brtva</v>
      </c>
    </row>
    <row r="1945" spans="1:2" x14ac:dyDescent="0.2">
      <c r="A1945" s="21" t="s">
        <v>438</v>
      </c>
      <c r="B1945" s="18" t="str">
        <f ca="1">IFERROR(__xludf.DUMMYFUNCTION("GOOGLETRANSLATE(C1054,""en"",""hr"")"),"Cu brtva")</f>
        <v>Cu brtva</v>
      </c>
    </row>
    <row r="1946" spans="1:2" x14ac:dyDescent="0.2">
      <c r="A1946" s="21" t="s">
        <v>264</v>
      </c>
      <c r="B1946" s="18" t="str">
        <f ca="1">IFERROR(__xludf.DUMMYFUNCTION("GOOGLETRANSLATE(C578,""en"",""hr"")"),"Cu brtva")</f>
        <v>Cu brtva</v>
      </c>
    </row>
    <row r="1947" spans="1:2" x14ac:dyDescent="0.2">
      <c r="A1947" s="21" t="s">
        <v>362</v>
      </c>
      <c r="B1947" s="18" t="str">
        <f ca="1">IFERROR(__xludf.DUMMYFUNCTION("GOOGLETRANSLATE(C820,""en"",""hr"")"),"Cu brtva")</f>
        <v>Cu brtva</v>
      </c>
    </row>
    <row r="1948" spans="1:2" x14ac:dyDescent="0.2">
      <c r="A1948" s="21" t="s">
        <v>123</v>
      </c>
      <c r="B1948" s="18" t="str">
        <f ca="1">IFERROR(__xludf.DUMMYFUNCTION("GOOGLETRANSLATE(C253,""en"",""hr"")"),"Cu brtva")</f>
        <v>Cu brtva</v>
      </c>
    </row>
    <row r="1949" spans="1:2" x14ac:dyDescent="0.2">
      <c r="A1949" s="21" t="s">
        <v>394</v>
      </c>
      <c r="B1949" s="18" t="str">
        <f ca="1">IFERROR(__xludf.DUMMYFUNCTION("GOOGLETRANSLATE(C927,""en"",""hr"")"),"Cu brtva")</f>
        <v>Cu brtva</v>
      </c>
    </row>
    <row r="1950" spans="1:2" x14ac:dyDescent="0.2">
      <c r="A1950" s="21" t="s">
        <v>486</v>
      </c>
      <c r="B1950" s="18" t="str">
        <f ca="1">IFERROR(__xludf.DUMMYFUNCTION("GOOGLETRANSLATE(C1178,""en"",""hr"")"),"Podloška za zaključavanje")</f>
        <v>Podloška za zaključavanje</v>
      </c>
    </row>
    <row r="1951" spans="1:2" x14ac:dyDescent="0.2">
      <c r="A1951" s="21" t="s">
        <v>1316</v>
      </c>
      <c r="B1951" s="18" t="str">
        <f ca="1">IFERROR(__xludf.DUMMYFUNCTION("GOOGLETRANSLATE(C4153,""en"",""hr"")"),"Podloška za zaključavanje")</f>
        <v>Podloška za zaključavanje</v>
      </c>
    </row>
    <row r="1952" spans="1:2" x14ac:dyDescent="0.2">
      <c r="A1952" s="21" t="s">
        <v>1345</v>
      </c>
      <c r="B1952" s="18" t="str">
        <f ca="1">IFERROR(__xludf.DUMMYFUNCTION("GOOGLETRANSLATE(C4237,""en"",""hr"")"),"Opružna podloška")</f>
        <v>Opružna podloška</v>
      </c>
    </row>
    <row r="1953" spans="1:2" x14ac:dyDescent="0.2">
      <c r="A1953" s="21" t="s">
        <v>1558</v>
      </c>
      <c r="B1953" s="18" t="str">
        <f ca="1">IFERROR(__xludf.DUMMYFUNCTION("GOOGLETRANSLATE(C5311,""en"",""hr"")"),"Set stezaljki za prsten")</f>
        <v>Set stezaljki za prsten</v>
      </c>
    </row>
    <row r="1954" spans="1:2" x14ac:dyDescent="0.2">
      <c r="A1954" s="21" t="s">
        <v>53</v>
      </c>
      <c r="B1954" s="18" t="str">
        <f ca="1">IFERROR(__xludf.DUMMYFUNCTION("GOOGLETRANSLATE(C145,""en"",""hr"")"),"Vijak kotača")</f>
        <v>Vijak kotača</v>
      </c>
    </row>
    <row r="1955" spans="1:2" x14ac:dyDescent="0.2">
      <c r="A1955" s="21" t="s">
        <v>185</v>
      </c>
      <c r="B1955" s="18" t="str">
        <f ca="1">IFERROR(__xludf.DUMMYFUNCTION("GOOGLETRANSLATE(C375,""en"",""hr"")"),"Lanci za snijeg 215/75 R16, 1 par")</f>
        <v>Lanci za snijeg 215/75 R16, 1 par</v>
      </c>
    </row>
    <row r="1956" spans="1:2" x14ac:dyDescent="0.2">
      <c r="A1956" s="21" t="s">
        <v>812</v>
      </c>
      <c r="B1956" s="18" t="str">
        <f ca="1">IFERROR(__xludf.DUMMYFUNCTION("GOOGLETRANSLATE(C2462,""en"",""hr"")"),"Shim")</f>
        <v>Shim</v>
      </c>
    </row>
    <row r="1957" spans="1:2" x14ac:dyDescent="0.2">
      <c r="A1957" s="21" t="s">
        <v>813</v>
      </c>
      <c r="B1957" s="18" t="str">
        <f ca="1">IFERROR(__xludf.DUMMYFUNCTION("GOOGLETRANSLATE(C2463,""en"",""hr"")"),"Shim")</f>
        <v>Shim</v>
      </c>
    </row>
    <row r="1958" spans="1:2" x14ac:dyDescent="0.2">
      <c r="A1958" s="21" t="s">
        <v>788</v>
      </c>
      <c r="B1958" s="18" t="str">
        <f ca="1">IFERROR(__xludf.DUMMYFUNCTION("GOOGLETRANSLATE(C2418,""en"",""hr"")"),"Shim")</f>
        <v>Shim</v>
      </c>
    </row>
    <row r="1959" spans="1:2" x14ac:dyDescent="0.2">
      <c r="A1959" s="21" t="s">
        <v>791</v>
      </c>
      <c r="B1959" s="18" t="str">
        <f ca="1">IFERROR(__xludf.DUMMYFUNCTION("GOOGLETRANSLATE(C2421,""en"",""hr"")"),"Shim")</f>
        <v>Shim</v>
      </c>
    </row>
    <row r="1960" spans="1:2" x14ac:dyDescent="0.2">
      <c r="A1960" s="21" t="s">
        <v>998</v>
      </c>
      <c r="B1960" s="18" t="str">
        <f ca="1">IFERROR(__xludf.DUMMYFUNCTION("GOOGLETRANSLATE(C3186,""en"",""hr"")"),"Perilica")</f>
        <v>Perilica</v>
      </c>
    </row>
    <row r="1961" spans="1:2" x14ac:dyDescent="0.2">
      <c r="A1961" s="21" t="s">
        <v>902</v>
      </c>
      <c r="B1961" s="18" t="str">
        <f ca="1">IFERROR(__xludf.DUMMYFUNCTION("GOOGLETRANSLATE(C2673,""en"",""hr"")"),"Perilica")</f>
        <v>Perilica</v>
      </c>
    </row>
    <row r="1962" spans="1:2" x14ac:dyDescent="0.2">
      <c r="A1962" s="21" t="s">
        <v>1493</v>
      </c>
      <c r="B1962" s="18" t="str">
        <f ca="1">IFERROR(__xludf.DUMMYFUNCTION("GOOGLETRANSLATE(C5017,""en"",""hr"")"),"Perilica")</f>
        <v>Perilica</v>
      </c>
    </row>
    <row r="1963" spans="1:2" x14ac:dyDescent="0.2">
      <c r="A1963" s="21" t="s">
        <v>213</v>
      </c>
      <c r="B1963" s="18" t="str">
        <f ca="1">IFERROR(__xludf.DUMMYFUNCTION("GOOGLETRANSLATE(C449,""en"",""hr"")"),"Perilica")</f>
        <v>Perilica</v>
      </c>
    </row>
    <row r="1964" spans="1:2" x14ac:dyDescent="0.2">
      <c r="A1964" s="21" t="s">
        <v>811</v>
      </c>
      <c r="B1964" s="18" t="str">
        <f ca="1">IFERROR(__xludf.DUMMYFUNCTION("GOOGLETRANSLATE(C2461,""en"",""hr"")"),"Perilica")</f>
        <v>Perilica</v>
      </c>
    </row>
    <row r="1965" spans="1:2" x14ac:dyDescent="0.2">
      <c r="A1965" s="21" t="s">
        <v>966</v>
      </c>
      <c r="B1965" s="18" t="str">
        <f ca="1">IFERROR(__xludf.DUMMYFUNCTION("GOOGLETRANSLATE(C3073,""en"",""hr"")"),"Perilica")</f>
        <v>Perilica</v>
      </c>
    </row>
    <row r="1966" spans="1:2" x14ac:dyDescent="0.2">
      <c r="A1966" s="21" t="s">
        <v>425</v>
      </c>
      <c r="B1966" s="18" t="str">
        <f ca="1">IFERROR(__xludf.DUMMYFUNCTION("GOOGLETRANSLATE(C1008,""en"",""hr"")"),"Perilica")</f>
        <v>Perilica</v>
      </c>
    </row>
    <row r="1967" spans="1:2" x14ac:dyDescent="0.2">
      <c r="A1967" s="21" t="s">
        <v>622</v>
      </c>
      <c r="B1967" s="18" t="str">
        <f ca="1">IFERROR(__xludf.DUMMYFUNCTION("GOOGLETRANSLATE(C1931,""en"",""hr"")"),"Paralelni ključ")</f>
        <v>Paralelni ključ</v>
      </c>
    </row>
    <row r="1968" spans="1:2" x14ac:dyDescent="0.2">
      <c r="A1968" s="21" t="s">
        <v>787</v>
      </c>
      <c r="B1968" s="18" t="str">
        <f ca="1">IFERROR(__xludf.DUMMYFUNCTION("GOOGLETRANSLATE(C2417,""en"",""hr"")"),"Disk udaljenosti")</f>
        <v>Disk udaljenosti</v>
      </c>
    </row>
    <row r="1969" spans="1:2" x14ac:dyDescent="0.2">
      <c r="A1969" s="21" t="s">
        <v>1042</v>
      </c>
      <c r="B1969" s="18" t="str">
        <f ca="1">IFERROR(__xludf.DUMMYFUNCTION("GOOGLETRANSLATE(C3413,""en"",""hr"")"),"Stezni prsten")</f>
        <v>Stezni prsten</v>
      </c>
    </row>
    <row r="1970" spans="1:2" x14ac:dyDescent="0.2">
      <c r="A1970" s="21" t="s">
        <v>999</v>
      </c>
      <c r="B1970" s="18" t="str">
        <f ca="1">IFERROR(__xludf.DUMMYFUNCTION("GOOGLETRANSLATE(C3188,""en"",""hr"")"),"Frikcijski ležaj")</f>
        <v>Frikcijski ležaj</v>
      </c>
    </row>
    <row r="1971" spans="1:2" x14ac:dyDescent="0.2">
      <c r="A1971" s="21" t="s">
        <v>1893</v>
      </c>
      <c r="B1971" s="18" t="str">
        <f ca="1">IFERROR(__xludf.DUMMYFUNCTION("GOOGLETRANSLATE(C6611,""en"",""hr"")"),"Zaštitni čep")</f>
        <v>Zaštitni čep</v>
      </c>
    </row>
    <row r="1972" spans="1:2" x14ac:dyDescent="0.2">
      <c r="A1972" s="21" t="s">
        <v>620</v>
      </c>
      <c r="B1972" s="18" t="str">
        <f ca="1">IFERROR(__xludf.DUMMYFUNCTION("GOOGLETRANSLATE(C1925,""en"",""hr"")"),"Zaštitni čep")</f>
        <v>Zaštitni čep</v>
      </c>
    </row>
    <row r="1973" spans="1:2" x14ac:dyDescent="0.2">
      <c r="A1973" s="21" t="s">
        <v>21</v>
      </c>
      <c r="B1973" s="18" t="str">
        <f ca="1">IFERROR(__xludf.DUMMYFUNCTION("GOOGLETRANSLATE(C17,""en"",""hr"")"),"Ventil za prašinu, filter zraka")</f>
        <v>Ventil za prašinu, filter zraka</v>
      </c>
    </row>
    <row r="1974" spans="1:2" x14ac:dyDescent="0.2">
      <c r="A1974" s="21" t="s">
        <v>1213</v>
      </c>
      <c r="B1974" s="18" t="str">
        <f ca="1">IFERROR(__xludf.DUMMYFUNCTION("GOOGLETRANSLATE(C3842,""en"",""hr"")"),"Crijevo")</f>
        <v>Crijevo</v>
      </c>
    </row>
    <row r="1975" spans="1:2" x14ac:dyDescent="0.2">
      <c r="A1975" s="21" t="s">
        <v>1258</v>
      </c>
      <c r="B1975" s="18" t="str">
        <f ca="1">IFERROR(__xludf.DUMMYFUNCTION("GOOGLETRANSLATE(C3979,""en"",""hr"")"),"Crijevo po metru")</f>
        <v>Crijevo po metru</v>
      </c>
    </row>
    <row r="1976" spans="1:2" x14ac:dyDescent="0.2">
      <c r="A1976" s="21" t="s">
        <v>1137</v>
      </c>
      <c r="B1976" s="18" t="str">
        <f ca="1">IFERROR(__xludf.DUMMYFUNCTION("GOOGLETRANSLATE(C3695,""en"",""hr"")"),"Crijevo po metru")</f>
        <v>Crijevo po metru</v>
      </c>
    </row>
    <row r="1977" spans="1:2" x14ac:dyDescent="0.2">
      <c r="A1977" s="21" t="s">
        <v>1138</v>
      </c>
      <c r="B1977" s="18" t="str">
        <f ca="1">IFERROR(__xludf.DUMMYFUNCTION("GOOGLETRANSLATE(C3699,""en"",""hr"")"),"Crijevo po metru")</f>
        <v>Crijevo po metru</v>
      </c>
    </row>
    <row r="1978" spans="1:2" x14ac:dyDescent="0.2">
      <c r="A1978" s="21" t="s">
        <v>1538</v>
      </c>
      <c r="B1978" s="18" t="str">
        <f ca="1">IFERROR(__xludf.DUMMYFUNCTION("GOOGLETRANSLATE(C5232,""en"",""hr"")"),"Crijevo po metru")</f>
        <v>Crijevo po metru</v>
      </c>
    </row>
    <row r="1979" spans="1:2" x14ac:dyDescent="0.2">
      <c r="A1979" s="21" t="s">
        <v>1100</v>
      </c>
      <c r="B1979" s="18" t="str">
        <f ca="1">IFERROR(__xludf.DUMMYFUNCTION("GOOGLETRANSLATE(C3558,""en"",""hr"")"),"Spiralno crijevo")</f>
        <v>Spiralno crijevo</v>
      </c>
    </row>
    <row r="1980" spans="1:2" x14ac:dyDescent="0.2">
      <c r="A1980" s="21" t="s">
        <v>1635</v>
      </c>
      <c r="B1980" s="18" t="str">
        <f ca="1">IFERROR(__xludf.DUMMYFUNCTION("GOOGLETRANSLATE(C5500,""en"",""hr"")"),"Brtvena traka po metru")</f>
        <v>Brtvena traka po metru</v>
      </c>
    </row>
    <row r="1981" spans="1:2" x14ac:dyDescent="0.2">
      <c r="A1981" s="21" t="s">
        <v>1636</v>
      </c>
      <c r="B1981" s="18" t="str">
        <f ca="1">IFERROR(__xludf.DUMMYFUNCTION("GOOGLETRANSLATE(C5502,""en"",""hr"")"),"Brtvena traka po metru")</f>
        <v>Brtvena traka po metru</v>
      </c>
    </row>
    <row r="1982" spans="1:2" x14ac:dyDescent="0.2">
      <c r="A1982" s="21" t="s">
        <v>1040</v>
      </c>
      <c r="B1982" s="18" t="str">
        <f ca="1">IFERROR(__xludf.DUMMYFUNCTION("GOOGLETRANSLATE(C3403,""en"",""hr"")"),"Brtvena traka po metru")</f>
        <v>Brtvena traka po metru</v>
      </c>
    </row>
    <row r="1983" spans="1:2" x14ac:dyDescent="0.2">
      <c r="A1983" s="21" t="s">
        <v>1399</v>
      </c>
      <c r="B1983" s="18" t="str">
        <f ca="1">IFERROR(__xludf.DUMMYFUNCTION("GOOGLETRANSLATE(C4499,""en"",""hr"")"),"Brtvena traka po metru")</f>
        <v>Brtvena traka po metru</v>
      </c>
    </row>
    <row r="1984" spans="1:2" x14ac:dyDescent="0.2">
      <c r="A1984" s="21" t="s">
        <v>1365</v>
      </c>
      <c r="B1984" s="18" t="str">
        <f ca="1">IFERROR(__xludf.DUMMYFUNCTION("GOOGLETRANSLATE(C4326,""en"",""hr"")"),"Brtvena traka po metru")</f>
        <v>Brtvena traka po metru</v>
      </c>
    </row>
    <row r="1985" spans="1:2" x14ac:dyDescent="0.2">
      <c r="A1985" s="21" t="s">
        <v>1435</v>
      </c>
      <c r="B1985" s="18" t="str">
        <f ca="1">IFERROR(__xludf.DUMMYFUNCTION("GOOGLETRANSLATE(C4668,""en"",""hr"")"),"Utikač")</f>
        <v>Utikač</v>
      </c>
    </row>
    <row r="1986" spans="1:2" x14ac:dyDescent="0.2">
      <c r="A1986" s="21" t="s">
        <v>1357</v>
      </c>
      <c r="B1986" s="18" t="str">
        <f ca="1">IFERROR(__xludf.DUMMYFUNCTION("GOOGLETRANSLATE(C4304,""en"",""hr"")"),"Letvičasti čep")</f>
        <v>Letvičasti čep</v>
      </c>
    </row>
    <row r="1987" spans="1:2" x14ac:dyDescent="0.2">
      <c r="A1987" s="21" t="s">
        <v>187</v>
      </c>
      <c r="B1987" s="18" t="str">
        <f ca="1">IFERROR(__xludf.DUMMYFUNCTION("GOOGLETRANSLATE(C377,""en"",""hr"")"),"Presjek zaštitnih rubova po metru")</f>
        <v>Presjek zaštitnih rubova po metru</v>
      </c>
    </row>
    <row r="1988" spans="1:2" x14ac:dyDescent="0.2">
      <c r="A1988" s="21" t="s">
        <v>391</v>
      </c>
      <c r="B1988" s="18" t="str">
        <f ca="1">IFERROR(__xludf.DUMMYFUNCTION("GOOGLETRANSLATE(C917,""en"",""hr"")"),"Presjek zaštitnih rubova po metru")</f>
        <v>Presjek zaštitnih rubova po metru</v>
      </c>
    </row>
    <row r="1989" spans="1:2" x14ac:dyDescent="0.2">
      <c r="A1989" s="21" t="s">
        <v>1650</v>
      </c>
      <c r="B1989" s="18" t="str">
        <f ca="1">IFERROR(__xludf.DUMMYFUNCTION("GOOGLETRANSLATE(C5590,""en"",""hr"")"),"Vremenska traka")</f>
        <v>Vremenska traka</v>
      </c>
    </row>
    <row r="1990" spans="1:2" x14ac:dyDescent="0.2">
      <c r="A1990" s="21" t="s">
        <v>413</v>
      </c>
      <c r="B1990" s="18" t="str">
        <f ca="1">IFERROR(__xludf.DUMMYFUNCTION("GOOGLETRANSLATE(C980,""en"",""hr"")"),"Vremenska traka po metru")</f>
        <v>Vremenska traka po metru</v>
      </c>
    </row>
    <row r="1991" spans="1:2" x14ac:dyDescent="0.2">
      <c r="A1991" s="21" t="s">
        <v>23</v>
      </c>
      <c r="B1991" s="18" t="str">
        <f ca="1">IFERROR(__xludf.DUMMYFUNCTION("GOOGLETRANSLATE(C21,""en"",""hr"")"),"Zaštitni ugljen")</f>
        <v>Zaštitni ugljen</v>
      </c>
    </row>
    <row r="1992" spans="1:2" x14ac:dyDescent="0.2">
      <c r="A1992" s="21" t="s">
        <v>1358</v>
      </c>
      <c r="B1992" s="18" t="str">
        <f ca="1">IFERROR(__xludf.DUMMYFUNCTION("GOOGLETRANSLATE(C4315,""en"",""hr"")"),"Zaštitni ugljen")</f>
        <v>Zaštitni ugljen</v>
      </c>
    </row>
    <row r="1993" spans="1:2" x14ac:dyDescent="0.2">
      <c r="A1993" s="21" t="s">
        <v>1861</v>
      </c>
      <c r="B1993" s="18" t="str">
        <f ca="1">IFERROR(__xludf.DUMMYFUNCTION("GOOGLETRANSLATE(C6526,""en"",""hr"")"),"Brtva po metru")</f>
        <v>Brtva po metru</v>
      </c>
    </row>
    <row r="1994" spans="1:2" x14ac:dyDescent="0.2">
      <c r="A1994" s="21" t="s">
        <v>1521</v>
      </c>
      <c r="B1994" s="18" t="str">
        <f ca="1">IFERROR(__xludf.DUMMYFUNCTION("GOOGLETRANSLATE(C5158,""en"",""hr"")"),"Rešetka")</f>
        <v>Rešetka</v>
      </c>
    </row>
    <row r="1995" spans="1:2" x14ac:dyDescent="0.2">
      <c r="A1995" s="21" t="s">
        <v>1531</v>
      </c>
      <c r="B1995" s="18" t="str">
        <f ca="1">IFERROR(__xludf.DUMMYFUNCTION("GOOGLETRANSLATE(C5186,""en"",""hr"")"),"režanj")</f>
        <v>režanj</v>
      </c>
    </row>
    <row r="1996" spans="1:2" x14ac:dyDescent="0.2">
      <c r="A1996" s="21" t="s">
        <v>1533</v>
      </c>
      <c r="B1996" s="18" t="str">
        <f ca="1">IFERROR(__xludf.DUMMYFUNCTION("GOOGLETRANSLATE(C5188,""en"",""hr"")"),"Rešetka")</f>
        <v>Rešetka</v>
      </c>
    </row>
    <row r="1997" spans="1:2" x14ac:dyDescent="0.2">
      <c r="A1997" s="21" t="s">
        <v>1630</v>
      </c>
      <c r="B1997" s="18" t="str">
        <f ca="1">IFERROR(__xludf.DUMMYFUNCTION("GOOGLETRANSLATE(C5486,""en"",""hr"")"),"Poklopac grijača")</f>
        <v>Poklopac grijača</v>
      </c>
    </row>
    <row r="1998" spans="1:2" x14ac:dyDescent="0.2">
      <c r="A1998" s="21" t="s">
        <v>1501</v>
      </c>
      <c r="B1998" s="18" t="str">
        <f ca="1">IFERROR(__xludf.DUMMYFUNCTION("GOOGLETRANSLATE(C5049,""en"",""hr"")"),"Zaštitna kapa")</f>
        <v>Zaštitna kapa</v>
      </c>
    </row>
    <row r="1999" spans="1:2" x14ac:dyDescent="0.2">
      <c r="A1999" s="21" t="s">
        <v>1052</v>
      </c>
      <c r="B1999" s="18" t="str">
        <f ca="1">IFERROR(__xludf.DUMMYFUNCTION("GOOGLETRANSLATE(C3437,""en"",""hr"")"),"brtva")</f>
        <v>brtva</v>
      </c>
    </row>
    <row r="2000" spans="1:2" x14ac:dyDescent="0.2">
      <c r="A2000" s="21" t="s">
        <v>824</v>
      </c>
      <c r="B2000" s="18" t="str">
        <f ca="1">IFERROR(__xludf.DUMMYFUNCTION("GOOGLETRANSLATE(C2480,""en"",""hr"")"),"Privjesak za ključeve")</f>
        <v>Privjesak za ključeve</v>
      </c>
    </row>
    <row r="2001" spans="1:2" x14ac:dyDescent="0.2">
      <c r="A2001" s="21" t="s">
        <v>208</v>
      </c>
      <c r="B2001" s="18" t="str">
        <f ca="1">IFERROR(__xludf.DUMMYFUNCTION("GOOGLETRANSLATE(C444,""en"",""hr"")"),"Preklopni klin")</f>
        <v>Preklopni klin</v>
      </c>
    </row>
    <row r="2002" spans="1:2" x14ac:dyDescent="0.2">
      <c r="A2002" s="21" t="s">
        <v>1392</v>
      </c>
      <c r="B2002" s="18" t="str">
        <f ca="1">IFERROR(__xludf.DUMMYFUNCTION("GOOGLETRANSLATE(C4469,""en"",""hr"")"),"Preklopni klin")</f>
        <v>Preklopni klin</v>
      </c>
    </row>
    <row r="2003" spans="1:2" x14ac:dyDescent="0.2">
      <c r="A2003" s="21" t="s">
        <v>1898</v>
      </c>
      <c r="B2003" s="18" t="str">
        <f ca="1">IFERROR(__xludf.DUMMYFUNCTION("GOOGLETRANSLATE(C6621,""en"",""hr"")"),"Raspadni trokut")</f>
        <v>Raspadni trokut</v>
      </c>
    </row>
    <row r="2004" spans="1:2" x14ac:dyDescent="0.2">
      <c r="A2004" s="21" t="s">
        <v>823</v>
      </c>
      <c r="B2004" s="18" t="str">
        <f ca="1">IFERROR(__xludf.DUMMYFUNCTION("GOOGLETRANSLATE(C2479,""en"",""hr"")"),"Lanac")</f>
        <v>Lanac</v>
      </c>
    </row>
    <row r="2005" spans="1:2" x14ac:dyDescent="0.2">
      <c r="A2005" s="21" t="s">
        <v>1030</v>
      </c>
      <c r="B2005" s="18" t="str">
        <f ca="1">IFERROR(__xludf.DUMMYFUNCTION("GOOGLETRANSLATE(C3354,""en"",""hr"")"),"Ručka")</f>
        <v>Ručka</v>
      </c>
    </row>
    <row r="2006" spans="1:2" x14ac:dyDescent="0.2">
      <c r="A2006" s="21" t="s">
        <v>14</v>
      </c>
      <c r="B2006" s="18" t="str">
        <f ca="1">IFERROR(__xludf.DUMMYFUNCTION("GOOGLETRANSLATE(C6,""en"",""hr"")"),"Ručka za rukovanje")</f>
        <v>Ručka za rukovanje</v>
      </c>
    </row>
    <row r="2007" spans="1:2" x14ac:dyDescent="0.2">
      <c r="A2007" s="21" t="s">
        <v>517</v>
      </c>
      <c r="B2007" s="18" t="str">
        <f ca="1">IFERROR(__xludf.DUMMYFUNCTION("GOOGLETRANSLATE(C1334,""en"",""hr"")"),"Okrugli tampon")</f>
        <v>Okrugli tampon</v>
      </c>
    </row>
    <row r="2008" spans="1:2" x14ac:dyDescent="0.2">
      <c r="A2008" s="21" t="s">
        <v>640</v>
      </c>
      <c r="B2008" s="18" t="str">
        <f ca="1">IFERROR(__xludf.DUMMYFUNCTION("GOOGLETRANSLATE(C1978,""en"",""hr"")"),"Matica s prirubnicom")</f>
        <v>Matica s prirubnicom</v>
      </c>
    </row>
    <row r="2009" spans="1:2" x14ac:dyDescent="0.2">
      <c r="A2009" s="21" t="s">
        <v>773</v>
      </c>
      <c r="B2009" s="18" t="str">
        <f ca="1">IFERROR(__xludf.DUMMYFUNCTION("GOOGLETRANSLATE(C2402,""en"",""hr"")"),"Matica s prirubnicom")</f>
        <v>Matica s prirubnicom</v>
      </c>
    </row>
    <row r="2010" spans="1:2" x14ac:dyDescent="0.2">
      <c r="A2010" s="21" t="s">
        <v>655</v>
      </c>
      <c r="B2010" s="18" t="str">
        <f ca="1">IFERROR(__xludf.DUMMYFUNCTION("GOOGLETRANSLATE(C2045,""en"",""hr"")"),"Šesterokutna matica")</f>
        <v>Šesterokutna matica</v>
      </c>
    </row>
    <row r="2011" spans="1:2" x14ac:dyDescent="0.2">
      <c r="A2011" s="21" t="s">
        <v>1559</v>
      </c>
      <c r="B2011" s="18" t="str">
        <f ca="1">IFERROR(__xludf.DUMMYFUNCTION("GOOGLETRANSLATE(C5315,""en"",""hr"")"),"Matica s prirubnicom")</f>
        <v>Matica s prirubnicom</v>
      </c>
    </row>
    <row r="2012" spans="1:2" x14ac:dyDescent="0.2">
      <c r="A2012" s="21" t="s">
        <v>551</v>
      </c>
      <c r="B2012" s="18" t="str">
        <f ca="1">IFERROR(__xludf.DUMMYFUNCTION("GOOGLETRANSLATE(C1493,""en"",""hr"")"),"Slijepa zakivna matica")</f>
        <v>Slijepa zakivna matica</v>
      </c>
    </row>
    <row r="2013" spans="1:2" x14ac:dyDescent="0.2">
      <c r="A2013" s="21" t="s">
        <v>1453</v>
      </c>
      <c r="B2013" s="18" t="str">
        <f ca="1">IFERROR(__xludf.DUMMYFUNCTION("GOOGLETRANSLATE(C4754,""en"",""hr"")"),"Slijepa zakovica")</f>
        <v>Slijepa zakovica</v>
      </c>
    </row>
    <row r="2014" spans="1:2" x14ac:dyDescent="0.2">
      <c r="A2014" s="21" t="s">
        <v>1033</v>
      </c>
      <c r="B2014" s="18" t="str">
        <f ca="1">IFERROR(__xludf.DUMMYFUNCTION("GOOGLETRANSLATE(C3365,""en"",""hr"")"),"Prsten za držanje")</f>
        <v>Prsten za držanje</v>
      </c>
    </row>
    <row r="2015" spans="1:2" x14ac:dyDescent="0.2">
      <c r="A2015" s="21" t="s">
        <v>936</v>
      </c>
      <c r="B2015" s="18" t="str">
        <f ca="1">IFERROR(__xludf.DUMMYFUNCTION("GOOGLETRANSLATE(C2854,""en"",""hr"")"),"Slijepa zakivna matica")</f>
        <v>Slijepa zakivna matica</v>
      </c>
    </row>
    <row r="2016" spans="1:2" x14ac:dyDescent="0.2">
      <c r="A2016" s="21" t="s">
        <v>1486</v>
      </c>
      <c r="B2016" s="18" t="str">
        <f ca="1">IFERROR(__xludf.DUMMYFUNCTION("GOOGLETRANSLATE(C4976,""en"",""hr"")"),"Orah")</f>
        <v>Orah</v>
      </c>
    </row>
    <row r="2017" spans="1:2" x14ac:dyDescent="0.2">
      <c r="A2017" s="21" t="s">
        <v>1439</v>
      </c>
      <c r="B2017" s="18" t="str">
        <f ca="1">IFERROR(__xludf.DUMMYFUNCTION("GOOGLETRANSLATE(C4688,""en"",""hr"")"),"Pločasta matica")</f>
        <v>Pločasta matica</v>
      </c>
    </row>
    <row r="2018" spans="1:2" x14ac:dyDescent="0.2">
      <c r="A2018" s="21" t="s">
        <v>1586</v>
      </c>
      <c r="B2018" s="18" t="str">
        <f ca="1">IFERROR(__xludf.DUMMYFUNCTION("GOOGLETRANSLATE(C5366,""en"",""hr"")"),"Pločasta matica")</f>
        <v>Pločasta matica</v>
      </c>
    </row>
    <row r="2019" spans="1:2" x14ac:dyDescent="0.2">
      <c r="A2019" s="21" t="s">
        <v>1361</v>
      </c>
      <c r="B2019" s="18" t="str">
        <f ca="1">IFERROR(__xludf.DUMMYFUNCTION("GOOGLETRANSLATE(C4320,""en"",""hr"")"),"Slijepa zakivna matica")</f>
        <v>Slijepa zakivna matica</v>
      </c>
    </row>
    <row r="2020" spans="1:2" x14ac:dyDescent="0.2">
      <c r="A2020" s="21" t="s">
        <v>1066</v>
      </c>
      <c r="B2020" s="18" t="str">
        <f ca="1">IFERROR(__xludf.DUMMYFUNCTION("GOOGLETRANSLATE(C3466,""en"",""hr"")"),"Poklopac za ventilaciju")</f>
        <v>Poklopac za ventilaciju</v>
      </c>
    </row>
    <row r="2021" spans="1:2" x14ac:dyDescent="0.2">
      <c r="A2021" s="21" t="s">
        <v>2016</v>
      </c>
      <c r="B2021" s="18" t="str">
        <f ca="1">IFERROR(__xludf.DUMMYFUNCTION("GOOGLETRANSLATE(C6823,""en"",""hr"")"),"Isječak")</f>
        <v>Isječak</v>
      </c>
    </row>
    <row r="2022" spans="1:2" x14ac:dyDescent="0.2">
      <c r="A2022" s="21" t="s">
        <v>1222</v>
      </c>
      <c r="B2022" s="18" t="str">
        <f ca="1">IFERROR(__xludf.DUMMYFUNCTION("GOOGLETRANSLATE(C3863,""en"",""hr"")"),"Stezaljka za alat")</f>
        <v>Stezaljka za alat</v>
      </c>
    </row>
    <row r="2023" spans="1:2" x14ac:dyDescent="0.2">
      <c r="A2023" s="21" t="s">
        <v>1473</v>
      </c>
      <c r="B2023" s="18" t="str">
        <f ca="1">IFERROR(__xludf.DUMMYFUNCTION("GOOGLETRANSLATE(C4938,""en"",""hr"")"),"Slijepa zakivna matica")</f>
        <v>Slijepa zakivna matica</v>
      </c>
    </row>
    <row r="2024" spans="1:2" x14ac:dyDescent="0.2">
      <c r="A2024" s="21" t="s">
        <v>321</v>
      </c>
      <c r="B2024" s="18" t="str">
        <f ca="1">IFERROR(__xludf.DUMMYFUNCTION("GOOGLETRANSLATE(C728,""en"",""hr"")"),"Prigušivač vibracija")</f>
        <v>Prigušivač vibracija</v>
      </c>
    </row>
    <row r="2025" spans="1:2" x14ac:dyDescent="0.2">
      <c r="A2025" s="21" t="s">
        <v>320</v>
      </c>
      <c r="B2025" s="18" t="str">
        <f ca="1">IFERROR(__xludf.DUMMYFUNCTION("GOOGLETRANSLATE(C726,""en"",""hr"")"),"Prigušivač vibracija")</f>
        <v>Prigušivač vibracija</v>
      </c>
    </row>
    <row r="2026" spans="1:2" x14ac:dyDescent="0.2">
      <c r="A2026" s="21" t="s">
        <v>1360</v>
      </c>
      <c r="B2026" s="18" t="str">
        <f ca="1">IFERROR(__xludf.DUMMYFUNCTION("GOOGLETRANSLATE(C4319,""en"",""hr"")"),"Slijepa zakivna matica")</f>
        <v>Slijepa zakivna matica</v>
      </c>
    </row>
    <row r="2027" spans="1:2" x14ac:dyDescent="0.2">
      <c r="A2027" s="21" t="s">
        <v>77</v>
      </c>
      <c r="B2027" s="18" t="str">
        <f ca="1">IFERROR(__xludf.DUMMYFUNCTION("GOOGLETRANSLATE(C186,""en"",""hr"")"),"Prigušivač vibracija")</f>
        <v>Prigušivač vibracija</v>
      </c>
    </row>
    <row r="2028" spans="1:2" x14ac:dyDescent="0.2">
      <c r="A2028" s="21" t="s">
        <v>1109</v>
      </c>
      <c r="B2028" s="18" t="str">
        <f ca="1">IFERROR(__xludf.DUMMYFUNCTION("GOOGLETRANSLATE(C3583,""en"",""hr"")"),"Kugla Ø40")</f>
        <v>Kugla Ø40</v>
      </c>
    </row>
    <row r="2029" spans="1:2" x14ac:dyDescent="0.2">
      <c r="A2029" s="21" t="s">
        <v>1519</v>
      </c>
      <c r="B2029" s="18" t="str">
        <f ca="1">IFERROR(__xludf.DUMMYFUNCTION("GOOGLETRANSLATE(C5155,""en"",""hr"")"),"Pločasta matica")</f>
        <v>Pločasta matica</v>
      </c>
    </row>
    <row r="2030" spans="1:2" x14ac:dyDescent="0.2">
      <c r="A2030" s="21" t="s">
        <v>1503</v>
      </c>
      <c r="B2030" s="18" t="str">
        <f ca="1">IFERROR(__xludf.DUMMYFUNCTION("GOOGLETRANSLATE(C5052,""en"",""hr"")"),"Prsten za držanje")</f>
        <v>Prsten za držanje</v>
      </c>
    </row>
    <row r="2031" spans="1:2" x14ac:dyDescent="0.2">
      <c r="A2031" s="21" t="s">
        <v>1458</v>
      </c>
      <c r="B2031" s="18" t="str">
        <f ca="1">IFERROR(__xludf.DUMMYFUNCTION("GOOGLETRANSLATE(C4855,""en"",""hr"")"),"Blokada kompresijske poluge")</f>
        <v>Blokada kompresijske poluge</v>
      </c>
    </row>
    <row r="2032" spans="1:2" x14ac:dyDescent="0.2">
      <c r="A2032" s="21" t="s">
        <v>997</v>
      </c>
      <c r="B2032" s="18" t="str">
        <f ca="1">IFERROR(__xludf.DUMMYFUNCTION("GOOGLETRANSLATE(C3185,""en"",""hr"")"),"Okov")</f>
        <v>Okov</v>
      </c>
    </row>
    <row r="2033" spans="1:2" x14ac:dyDescent="0.2">
      <c r="A2033" s="21" t="s">
        <v>100</v>
      </c>
      <c r="B2033" s="18" t="str">
        <f ca="1">IFERROR(__xludf.DUMMYFUNCTION("GOOGLETRANSLATE(C217,""en"",""hr"")"),"Uski klinasti remen")</f>
        <v>Uski klinasti remen</v>
      </c>
    </row>
    <row r="2034" spans="1:2" x14ac:dyDescent="0.2">
      <c r="A2034" s="21" t="s">
        <v>1895</v>
      </c>
      <c r="B2034" s="18" t="str">
        <f ca="1">IFERROR(__xludf.DUMMYFUNCTION("GOOGLETRANSLATE(C6616,""en"",""hr"")"),"Klin kotača")</f>
        <v>Klin kotača</v>
      </c>
    </row>
    <row r="2035" spans="1:2" x14ac:dyDescent="0.2">
      <c r="A2035" s="21" t="s">
        <v>1659</v>
      </c>
      <c r="B2035" s="18" t="str">
        <f ca="1">IFERROR(__xludf.DUMMYFUNCTION("GOOGLETRANSLATE(C5648,""en"",""hr"")"),"Orah")</f>
        <v>Orah</v>
      </c>
    </row>
    <row r="2036" spans="1:2" x14ac:dyDescent="0.2">
      <c r="A2036" s="21" t="s">
        <v>47</v>
      </c>
      <c r="B2036" s="18" t="str">
        <f ca="1">IFERROR(__xludf.DUMMYFUNCTION("GOOGLETRANSLATE(C75,""en"",""hr"")"),"Indikator matice kotača")</f>
        <v>Indikator matice kotača</v>
      </c>
    </row>
    <row r="2037" spans="1:2" x14ac:dyDescent="0.2">
      <c r="A2037" s="21" t="s">
        <v>297</v>
      </c>
      <c r="B2037" s="18" t="str">
        <f ca="1">IFERROR(__xludf.DUMMYFUNCTION("GOOGLETRANSLATE(C659,""en"",""hr"")"),"Štap")</f>
        <v>Štap</v>
      </c>
    </row>
    <row r="2038" spans="1:2" x14ac:dyDescent="0.2">
      <c r="A2038" s="21" t="s">
        <v>1509</v>
      </c>
      <c r="B2038" s="18" t="str">
        <f ca="1">IFERROR(__xludf.DUMMYFUNCTION("GOOGLETRANSLATE(C5103,""en"",""hr"")"),"držač brave na desnim vratima")</f>
        <v>držač brave na desnim vratima</v>
      </c>
    </row>
    <row r="2039" spans="1:2" x14ac:dyDescent="0.2">
      <c r="A2039" s="21" t="s">
        <v>1001</v>
      </c>
      <c r="B2039" s="18" t="str">
        <f ca="1">IFERROR(__xludf.DUMMYFUNCTION("GOOGLETRANSLATE(C3197,""en"",""hr"")"),"Lanac")</f>
        <v>Lanac</v>
      </c>
    </row>
    <row r="2040" spans="1:2" x14ac:dyDescent="0.2">
      <c r="A2040" s="21" t="s">
        <v>562</v>
      </c>
      <c r="B2040" s="18" t="str">
        <f ca="1">IFERROR(__xludf.DUMMYFUNCTION("GOOGLETRANSLATE(C1578,""en"",""hr"")"),"Stezaljka za crijevo")</f>
        <v>Stezaljka za crijevo</v>
      </c>
    </row>
    <row r="2041" spans="1:2" x14ac:dyDescent="0.2">
      <c r="A2041" s="21" t="s">
        <v>1631</v>
      </c>
      <c r="B2041" s="18" t="str">
        <f ca="1">IFERROR(__xludf.DUMMYFUNCTION("GOOGLETRANSLATE(C5491,""en"",""hr"")"),"Stezaljka za crijevo")</f>
        <v>Stezaljka za crijevo</v>
      </c>
    </row>
    <row r="2042" spans="1:2" x14ac:dyDescent="0.2">
      <c r="A2042" s="21" t="s">
        <v>516</v>
      </c>
      <c r="B2042" s="18" t="str">
        <f ca="1">IFERROR(__xludf.DUMMYFUNCTION("GOOGLETRANSLATE(C1323,""en"",""hr"")"),"Stezaljka za crijevo")</f>
        <v>Stezaljka za crijevo</v>
      </c>
    </row>
    <row r="2043" spans="1:2" x14ac:dyDescent="0.2">
      <c r="A2043" s="21" t="s">
        <v>1152</v>
      </c>
      <c r="B2043" s="18" t="str">
        <f ca="1">IFERROR(__xludf.DUMMYFUNCTION("GOOGLETRANSLATE(C3745,""en"",""hr"")"),"Stezaljka za crijevo")</f>
        <v>Stezaljka za crijevo</v>
      </c>
    </row>
    <row r="2044" spans="1:2" x14ac:dyDescent="0.2">
      <c r="A2044" s="21" t="s">
        <v>420</v>
      </c>
      <c r="B2044" s="18" t="str">
        <f ca="1">IFERROR(__xludf.DUMMYFUNCTION("GOOGLETRANSLATE(C992,""en"",""hr"")"),"Stezaljka za crijevo")</f>
        <v>Stezaljka za crijevo</v>
      </c>
    </row>
    <row r="2045" spans="1:2" x14ac:dyDescent="0.2">
      <c r="A2045" s="21" t="s">
        <v>417</v>
      </c>
      <c r="B2045" s="18" t="str">
        <f ca="1">IFERROR(__xludf.DUMMYFUNCTION("GOOGLETRANSLATE(C989,""en"",""hr"")"),"Stezaljka za crijevo")</f>
        <v>Stezaljka za crijevo</v>
      </c>
    </row>
    <row r="2046" spans="1:2" x14ac:dyDescent="0.2">
      <c r="A2046" s="21" t="s">
        <v>416</v>
      </c>
      <c r="B2046" s="18" t="str">
        <f ca="1">IFERROR(__xludf.DUMMYFUNCTION("GOOGLETRANSLATE(C988,""en"",""hr"")"),"Stezaljka za crijevo")</f>
        <v>Stezaljka za crijevo</v>
      </c>
    </row>
    <row r="2047" spans="1:2" x14ac:dyDescent="0.2">
      <c r="A2047" s="21" t="s">
        <v>637</v>
      </c>
      <c r="B2047" s="18" t="str">
        <f ca="1">IFERROR(__xludf.DUMMYFUNCTION("GOOGLETRANSLATE(C1963,""en"",""hr"")"),"Stezaljka za crijevo")</f>
        <v>Stezaljka za crijevo</v>
      </c>
    </row>
    <row r="2048" spans="1:2" x14ac:dyDescent="0.2">
      <c r="A2048" s="21" t="s">
        <v>1529</v>
      </c>
      <c r="B2048" s="18" t="str">
        <f ca="1">IFERROR(__xludf.DUMMYFUNCTION("GOOGLETRANSLATE(C5178,""en"",""hr"")"),"Stezaljka za crijevo")</f>
        <v>Stezaljka za crijevo</v>
      </c>
    </row>
    <row r="2049" spans="1:2" x14ac:dyDescent="0.2">
      <c r="A2049" s="21" t="s">
        <v>1035</v>
      </c>
      <c r="B2049" s="18" t="str">
        <f ca="1">IFERROR(__xludf.DUMMYFUNCTION("GOOGLETRANSLATE(C3369,""en"",""hr"")"),"Stezaljka za crijevo")</f>
        <v>Stezaljka za crijevo</v>
      </c>
    </row>
    <row r="2050" spans="1:2" x14ac:dyDescent="0.2">
      <c r="A2050" s="21" t="s">
        <v>199</v>
      </c>
      <c r="B2050" s="18" t="str">
        <f ca="1">IFERROR(__xludf.DUMMYFUNCTION("GOOGLETRANSLATE(C433,""en"",""hr"")"),"Stezaljka za crijevo")</f>
        <v>Stezaljka za crijevo</v>
      </c>
    </row>
    <row r="2051" spans="1:2" x14ac:dyDescent="0.2">
      <c r="A2051" s="21" t="s">
        <v>526</v>
      </c>
      <c r="B2051" s="18" t="str">
        <f ca="1">IFERROR(__xludf.DUMMYFUNCTION("GOOGLETRANSLATE(C1365,""en"",""hr"")"),"Stezaljka za crijevo")</f>
        <v>Stezaljka za crijevo</v>
      </c>
    </row>
    <row r="2052" spans="1:2" x14ac:dyDescent="0.2">
      <c r="A2052" s="21" t="s">
        <v>414</v>
      </c>
      <c r="B2052" s="18" t="str">
        <f ca="1">IFERROR(__xludf.DUMMYFUNCTION("GOOGLETRANSLATE(C985,""en"",""hr"")"),"Stezaljka za crijevo")</f>
        <v>Stezaljka za crijevo</v>
      </c>
    </row>
    <row r="2053" spans="1:2" x14ac:dyDescent="0.2">
      <c r="A2053" s="21" t="s">
        <v>339</v>
      </c>
      <c r="B2053" s="18" t="str">
        <f ca="1">IFERROR(__xludf.DUMMYFUNCTION("GOOGLETRANSLATE(C761,""en"",""hr"")"),"Magnetski čep")</f>
        <v>Magnetski čep</v>
      </c>
    </row>
    <row r="2054" spans="1:2" x14ac:dyDescent="0.2">
      <c r="A2054" s="21" t="s">
        <v>340</v>
      </c>
      <c r="B2054" s="18" t="str">
        <f ca="1">IFERROR(__xludf.DUMMYFUNCTION("GOOGLETRANSLATE(C762,""en"",""hr"")"),"Čep za punjenje ulja / ventilacijski filtar")</f>
        <v>Čep za punjenje ulja / ventilacijski filtar</v>
      </c>
    </row>
    <row r="2055" spans="1:2" x14ac:dyDescent="0.2">
      <c r="A2055" s="21" t="s">
        <v>1471</v>
      </c>
      <c r="B2055" s="18" t="str">
        <f ca="1">IFERROR(__xludf.DUMMYFUNCTION("GOOGLETRANSLATE(C4924,""en"",""hr"")"),"Magnet")</f>
        <v>Magnet</v>
      </c>
    </row>
    <row r="2056" spans="1:2" x14ac:dyDescent="0.2">
      <c r="A2056" s="21" t="s">
        <v>1461</v>
      </c>
      <c r="B2056" s="18" t="str">
        <f ca="1">IFERROR(__xludf.DUMMYFUNCTION("GOOGLETRANSLATE(C4879,""en"",""hr"")"),"podrška")</f>
        <v>podrška</v>
      </c>
    </row>
    <row r="2057" spans="1:2" x14ac:dyDescent="0.2">
      <c r="A2057" s="21" t="s">
        <v>86</v>
      </c>
      <c r="B2057" s="18" t="str">
        <f ca="1">IFERROR(__xludf.DUMMYFUNCTION("GOOGLETRANSLATE(C200,""en"",""hr"")"),"Poklopac rezervoara za gorivo, zaključavanje - bez ključa")</f>
        <v>Poklopac rezervoara za gorivo, zaključavanje - bez ključa</v>
      </c>
    </row>
    <row r="2058" spans="1:2" x14ac:dyDescent="0.2">
      <c r="A2058" s="21" t="s">
        <v>87</v>
      </c>
      <c r="B2058" s="18" t="str">
        <f ca="1">IFERROR(__xludf.DUMMYFUNCTION("GOOGLETRANSLATE(C201,""en"",""hr"")"),"Ulazni filter")</f>
        <v>Ulazni filter</v>
      </c>
    </row>
    <row r="2059" spans="1:2" x14ac:dyDescent="0.2">
      <c r="A2059" s="21" t="s">
        <v>1142</v>
      </c>
      <c r="B2059" s="18" t="str">
        <f ca="1">IFERROR(__xludf.DUMMYFUNCTION("GOOGLETRANSLATE(C3705,""en"",""hr"")"),"Crijevo")</f>
        <v>Crijevo</v>
      </c>
    </row>
    <row r="2060" spans="1:2" x14ac:dyDescent="0.2">
      <c r="A2060" s="21" t="s">
        <v>629</v>
      </c>
      <c r="B2060" s="18" t="str">
        <f ca="1">IFERROR(__xludf.DUMMYFUNCTION("GOOGLETRANSLATE(C1938,""en"",""hr"")"),"mlaznica")</f>
        <v>mlaznica</v>
      </c>
    </row>
    <row r="2061" spans="1:2" x14ac:dyDescent="0.2">
      <c r="A2061" s="21" t="s">
        <v>1332</v>
      </c>
      <c r="B2061" s="18" t="str">
        <f ca="1">IFERROR(__xludf.DUMMYFUNCTION("GOOGLETRANSLATE(C4196,""en"",""hr"")"),"Koplje za vodu visokog pritiska")</f>
        <v>Koplje za vodu visokog pritiska</v>
      </c>
    </row>
    <row r="2062" spans="1:2" x14ac:dyDescent="0.2">
      <c r="A2062" s="21" t="s">
        <v>167</v>
      </c>
      <c r="B2062" s="18" t="str">
        <f ca="1">IFERROR(__xludf.DUMMYFUNCTION("GOOGLETRANSLATE(C322,""en"",""hr"")"),"Gumeni nosač")</f>
        <v>Gumeni nosač</v>
      </c>
    </row>
    <row r="2063" spans="1:2" x14ac:dyDescent="0.2">
      <c r="A2063" s="21" t="s">
        <v>1549</v>
      </c>
      <c r="B2063" s="18" t="str">
        <f ca="1">IFERROR(__xludf.DUMMYFUNCTION("GOOGLETRANSLATE(C5271,""en"",""hr"")"),"Orah")</f>
        <v>Orah</v>
      </c>
    </row>
    <row r="2064" spans="1:2" x14ac:dyDescent="0.2">
      <c r="A2064" s="21" t="s">
        <v>1491</v>
      </c>
      <c r="B2064" s="18" t="str">
        <f ca="1">IFERROR(__xludf.DUMMYFUNCTION("GOOGLETRANSLATE(C4995,""en"",""hr"")"),"Orah")</f>
        <v>Orah</v>
      </c>
    </row>
    <row r="2065" spans="1:2" x14ac:dyDescent="0.2">
      <c r="A2065" s="21" t="s">
        <v>1443</v>
      </c>
      <c r="B2065" s="18" t="str">
        <f ca="1">IFERROR(__xludf.DUMMYFUNCTION("GOOGLETRANSLATE(C4707,""en"",""hr"")"),"Orah")</f>
        <v>Orah</v>
      </c>
    </row>
    <row r="2066" spans="1:2" x14ac:dyDescent="0.2">
      <c r="A2066" s="21" t="s">
        <v>1823</v>
      </c>
      <c r="B2066" s="18" t="str">
        <f ca="1">IFERROR(__xludf.DUMMYFUNCTION("GOOGLETRANSLATE(C6361,""en"",""hr"")"),"Orah")</f>
        <v>Orah</v>
      </c>
    </row>
    <row r="2067" spans="1:2" x14ac:dyDescent="0.2">
      <c r="A2067" s="21" t="s">
        <v>332</v>
      </c>
      <c r="B2067" s="18" t="str">
        <f ca="1">IFERROR(__xludf.DUMMYFUNCTION("GOOGLETRANSLATE(C749,""en"",""hr"")"),"Šesterokutni vijak")</f>
        <v>Šesterokutni vijak</v>
      </c>
    </row>
    <row r="2068" spans="1:2" x14ac:dyDescent="0.2">
      <c r="A2068" s="21" t="s">
        <v>421</v>
      </c>
      <c r="B2068" s="18" t="str">
        <f ca="1">IFERROR(__xludf.DUMMYFUNCTION("GOOGLETRANSLATE(C995,""en"",""hr"")"),"Vijak s nazubljenom glavom")</f>
        <v>Vijak s nazubljenom glavom</v>
      </c>
    </row>
    <row r="2069" spans="1:2" x14ac:dyDescent="0.2">
      <c r="A2069" s="21" t="s">
        <v>1043</v>
      </c>
      <c r="B2069" s="18" t="str">
        <f ca="1">IFERROR(__xludf.DUMMYFUNCTION("GOOGLETRANSLATE(C3421,""en"",""hr"")"),"Vijak s nazubljenom glavom")</f>
        <v>Vijak s nazubljenom glavom</v>
      </c>
    </row>
    <row r="2070" spans="1:2" x14ac:dyDescent="0.2">
      <c r="A2070" s="21" t="s">
        <v>1525</v>
      </c>
      <c r="B2070" s="18" t="str">
        <f ca="1">IFERROR(__xludf.DUMMYFUNCTION("GOOGLETRANSLATE(C5169,""en"",""hr"")"),"brava")</f>
        <v>brava</v>
      </c>
    </row>
    <row r="2071" spans="1:2" x14ac:dyDescent="0.2">
      <c r="A2071" s="21" t="s">
        <v>1633</v>
      </c>
      <c r="B2071" s="18" t="str">
        <f ca="1">IFERROR(__xludf.DUMMYFUNCTION("GOOGLETRANSLATE(C5494,""en"",""hr"")"),"brava")</f>
        <v>brava</v>
      </c>
    </row>
    <row r="2072" spans="1:2" x14ac:dyDescent="0.2">
      <c r="A2072" s="21" t="s">
        <v>1523</v>
      </c>
      <c r="B2072" s="18" t="str">
        <f ca="1">IFERROR(__xludf.DUMMYFUNCTION("GOOGLETRANSLATE(C5165,""en"",""hr"")"),"Perilica")</f>
        <v>Perilica</v>
      </c>
    </row>
    <row r="2073" spans="1:2" x14ac:dyDescent="0.2">
      <c r="A2073" s="21" t="s">
        <v>20</v>
      </c>
      <c r="B2073" s="18" t="str">
        <f ca="1">IFERROR(__xludf.DUMMYFUNCTION("GOOGLETRANSLATE(C16,""en"",""hr"")"),"Zatik za zaključavanje")</f>
        <v>Zatik za zaključavanje</v>
      </c>
    </row>
    <row r="2074" spans="1:2" x14ac:dyDescent="0.2">
      <c r="A2074" s="21" t="s">
        <v>1524</v>
      </c>
      <c r="B2074" s="18" t="str">
        <f ca="1">IFERROR(__xludf.DUMMYFUNCTION("GOOGLETRANSLATE(C5168,""en"",""hr"")"),"brava")</f>
        <v>brava</v>
      </c>
    </row>
    <row r="2075" spans="1:2" x14ac:dyDescent="0.2">
      <c r="A2075" s="21" t="s">
        <v>1444</v>
      </c>
      <c r="B2075" s="18" t="str">
        <f ca="1">IFERROR(__xludf.DUMMYFUNCTION("GOOGLETRANSLATE(C4712,""en"",""hr"")"),"brava")</f>
        <v>brava</v>
      </c>
    </row>
    <row r="2076" spans="1:2" x14ac:dyDescent="0.2">
      <c r="A2076" s="21" t="s">
        <v>1347</v>
      </c>
      <c r="B2076" s="18" t="str">
        <f ca="1">IFERROR(__xludf.DUMMYFUNCTION("GOOGLETRANSLATE(C4243,""en"",""hr"")"),"Uže")</f>
        <v>Uže</v>
      </c>
    </row>
    <row r="2077" spans="1:2" x14ac:dyDescent="0.2">
      <c r="A2077" s="21" t="s">
        <v>348</v>
      </c>
      <c r="B2077" s="18" t="str">
        <f ca="1">IFERROR(__xludf.DUMMYFUNCTION("GOOGLETRANSLATE(C802,""en"",""hr"")"),"Jedinica pumpe")</f>
        <v>Jedinica pumpe</v>
      </c>
    </row>
    <row r="2078" spans="1:2" x14ac:dyDescent="0.2">
      <c r="A2078" s="21" t="s">
        <v>349</v>
      </c>
      <c r="B2078" s="18" t="str">
        <f ca="1">IFERROR(__xludf.DUMMYFUNCTION("GOOGLETRANSLATE(C803,""en"",""hr"")"),"Pumpa cpl.")</f>
        <v>Pumpa cpl.</v>
      </c>
    </row>
    <row r="2079" spans="1:2" x14ac:dyDescent="0.2">
      <c r="A2079" s="21" t="s">
        <v>1543</v>
      </c>
      <c r="B2079" s="18" t="str">
        <f ca="1">IFERROR(__xludf.DUMMYFUNCTION("GOOGLETRANSLATE(C5248,""en"",""hr"")"),"Theraded šipka")</f>
        <v>Theraded šipka</v>
      </c>
    </row>
    <row r="2080" spans="1:2" x14ac:dyDescent="0.2">
      <c r="A2080" s="21" t="s">
        <v>272</v>
      </c>
      <c r="B2080" s="18" t="str">
        <f ca="1">IFERROR(__xludf.DUMMYFUNCTION("GOOGLETRANSLATE(C601,""en"",""hr"")"),"Kočnica vodova po metru")</f>
        <v>Kočnica vodova po metru</v>
      </c>
    </row>
    <row r="2081" spans="1:2" x14ac:dyDescent="0.2">
      <c r="A2081" s="21" t="s">
        <v>1894</v>
      </c>
      <c r="B2081" s="18" t="str">
        <f ca="1">IFERROR(__xludf.DUMMYFUNCTION("GOOGLETRANSLATE(C6615,""en"",""hr"")"),"Vatrogasni Aparat")</f>
        <v>Vatrogasni Aparat</v>
      </c>
    </row>
    <row r="2082" spans="1:2" x14ac:dyDescent="0.2">
      <c r="A2082" s="21" t="s">
        <v>1500</v>
      </c>
      <c r="B2082" s="18" t="str">
        <f ca="1">IFERROR(__xludf.DUMMYFUNCTION("GOOGLETRANSLATE(C5048,""en"",""hr"")"),"Brava za vrata")</f>
        <v>Brava za vrata</v>
      </c>
    </row>
    <row r="2083" spans="1:2" x14ac:dyDescent="0.2">
      <c r="A2083" s="21" t="s">
        <v>1506</v>
      </c>
      <c r="B2083" s="18" t="str">
        <f ca="1">IFERROR(__xludf.DUMMYFUNCTION("GOOGLETRANSLATE(C5058,""en"",""hr"")"),"Kvaka za vrata")</f>
        <v>Kvaka za vrata</v>
      </c>
    </row>
    <row r="2084" spans="1:2" x14ac:dyDescent="0.2">
      <c r="A2084" s="21" t="s">
        <v>977</v>
      </c>
      <c r="B2084" s="18" t="str">
        <f ca="1">IFERROR(__xludf.DUMMYFUNCTION("GOOGLETRANSLATE(C3113,""en"",""hr"")"),"Upravljački valjak")</f>
        <v>Upravljački valjak</v>
      </c>
    </row>
    <row r="2085" spans="1:2" x14ac:dyDescent="0.2">
      <c r="A2085" s="21" t="s">
        <v>2018</v>
      </c>
      <c r="B2085" s="18" t="str">
        <f ca="1">IFERROR(__xludf.DUMMYFUNCTION("GOOGLETRANSLATE(C6828,""en"",""hr"")"),"brava")</f>
        <v>brava</v>
      </c>
    </row>
    <row r="2086" spans="1:2" x14ac:dyDescent="0.2">
      <c r="A2086" s="21" t="s">
        <v>1466</v>
      </c>
      <c r="B2086" s="18" t="str">
        <f ca="1">IFERROR(__xludf.DUMMYFUNCTION("GOOGLETRANSLATE(C4890,""en"",""hr"")"),"Potporni prsten")</f>
        <v>Potporni prsten</v>
      </c>
    </row>
    <row r="2087" spans="1:2" x14ac:dyDescent="0.2">
      <c r="A2087" s="21" t="s">
        <v>1851</v>
      </c>
      <c r="B2087" s="18" t="str">
        <f ca="1">IFERROR(__xludf.DUMMYFUNCTION("GOOGLETRANSLATE(C6494,""en"",""hr"")"),"Vijčani vrh")</f>
        <v>Vijčani vrh</v>
      </c>
    </row>
    <row r="2088" spans="1:2" x14ac:dyDescent="0.2">
      <c r="A2088" s="21" t="s">
        <v>1363</v>
      </c>
      <c r="B2088" s="18" t="str">
        <f ca="1">IFERROR(__xludf.DUMMYFUNCTION("GOOGLETRANSLATE(C4322,""en"",""hr"")"),"Vijak za zaključavanje")</f>
        <v>Vijak za zaključavanje</v>
      </c>
    </row>
    <row r="2089" spans="1:2" x14ac:dyDescent="0.2">
      <c r="A2089" s="21" t="s">
        <v>1626</v>
      </c>
      <c r="B2089" s="18" t="str">
        <f ca="1">IFERROR(__xludf.DUMMYFUNCTION("GOOGLETRANSLATE(C5474,""en"",""hr"")"),"Sigurnosni pojas")</f>
        <v>Sigurnosni pojas</v>
      </c>
    </row>
    <row r="2090" spans="1:2" x14ac:dyDescent="0.2">
      <c r="A2090" s="21" t="s">
        <v>1625</v>
      </c>
      <c r="B2090" s="18" t="str">
        <f ca="1">IFERROR(__xludf.DUMMYFUNCTION("GOOGLETRANSLATE(C5473,""en"",""hr"")"),"Sigurnosni pojas")</f>
        <v>Sigurnosni pojas</v>
      </c>
    </row>
    <row r="2091" spans="1:2" x14ac:dyDescent="0.2">
      <c r="A2091" s="21" t="s">
        <v>1603</v>
      </c>
      <c r="B2091" s="18" t="str">
        <f ca="1">IFERROR(__xludf.DUMMYFUNCTION("GOOGLETRANSLATE(C5446,""en"",""hr"")"),"Vijak za pričvršćivanje")</f>
        <v>Vijak za pričvršćivanje</v>
      </c>
    </row>
    <row r="2092" spans="1:2" x14ac:dyDescent="0.2">
      <c r="A2092" s="21" t="s">
        <v>1618</v>
      </c>
      <c r="B2092" s="18" t="str">
        <f ca="1">IFERROR(__xludf.DUMMYFUNCTION("GOOGLETRANSLATE(C5461,""en"",""hr"")"),"PILOT prekidač sjedala (za pneumatsku oprugu)")</f>
        <v>PILOT prekidač sjedala (za pneumatsku oprugu)</v>
      </c>
    </row>
    <row r="2093" spans="1:2" x14ac:dyDescent="0.2">
      <c r="A2093" s="21" t="s">
        <v>1604</v>
      </c>
      <c r="B2093" s="18" t="str">
        <f ca="1">IFERROR(__xludf.DUMMYFUNCTION("GOOGLETRANSLATE(C5447,""en"",""hr"")"),"Ručka - klizno sjedalo")</f>
        <v>Ručka - klizno sjedalo</v>
      </c>
    </row>
    <row r="2094" spans="1:2" x14ac:dyDescent="0.2">
      <c r="A2094" s="21" t="s">
        <v>1605</v>
      </c>
      <c r="B2094" s="18" t="str">
        <f ca="1">IFERROR(__xludf.DUMMYFUNCTION("GOOGLETRANSLATE(C5448,""en"",""hr"")"),"Ručka - komplet za namještanje naslona")</f>
        <v>Ručka - komplet za namještanje naslona</v>
      </c>
    </row>
    <row r="2095" spans="1:2" x14ac:dyDescent="0.2">
      <c r="A2095" s="21" t="s">
        <v>1606</v>
      </c>
      <c r="B2095" s="18" t="str">
        <f ca="1">IFERROR(__xludf.DUMMYFUNCTION("GOOGLETRANSLATE(C5449,""en"",""hr"")"),"Standardni komplet amortizera (meh. ovjesa).")</f>
        <v>Standardni komplet amortizera (meh. ovjesa).</v>
      </c>
    </row>
    <row r="2096" spans="1:2" x14ac:dyDescent="0.2">
      <c r="A2096" s="21" t="s">
        <v>1607</v>
      </c>
      <c r="B2096" s="18" t="str">
        <f ca="1">IFERROR(__xludf.DUMMYFUNCTION("GOOGLETRANSLATE(C5450,""en"",""hr"")"),"Standardni komplet amortizera (zračni amortizer).")</f>
        <v>Standardni komplet amortizera (zračni amortizer).</v>
      </c>
    </row>
    <row r="2097" spans="1:2" x14ac:dyDescent="0.2">
      <c r="A2097" s="21" t="s">
        <v>1608</v>
      </c>
      <c r="B2097" s="18" t="str">
        <f ca="1">IFERROR(__xludf.DUMMYFUNCTION("GOOGLETRANSLATE(C5451,""en"",""hr"")"),"Standardni komplet škara Assy (Mech. Susp.).")</f>
        <v>Standardni komplet škara Assy (Mech. Susp.).</v>
      </c>
    </row>
    <row r="2098" spans="1:2" x14ac:dyDescent="0.2">
      <c r="A2098" s="21" t="s">
        <v>1609</v>
      </c>
      <c r="B2098" s="18" t="str">
        <f ca="1">IFERROR(__xludf.DUMMYFUNCTION("GOOGLETRANSLATE(C5452,""en"",""hr"")"),"Sklop škara (zračni ovjes) Standardni komplet")</f>
        <v>Sklop škara (zračni ovjes) Standardni komplet</v>
      </c>
    </row>
    <row r="2099" spans="1:2" x14ac:dyDescent="0.2">
      <c r="A2099" s="21" t="s">
        <v>1610</v>
      </c>
      <c r="B2099" s="18" t="str">
        <f ca="1">IFERROR(__xludf.DUMMYFUNCTION("GOOGLETRANSLATE(C5453,""en"",""hr"")"),"Guma - Kit Standard")</f>
        <v>Guma - Kit Standard</v>
      </c>
    </row>
    <row r="2100" spans="1:2" x14ac:dyDescent="0.2">
      <c r="A2100" s="21" t="s">
        <v>1611</v>
      </c>
      <c r="B2100" s="18" t="str">
        <f ca="1">IFERROR(__xludf.DUMMYFUNCTION("GOOGLETRANSLATE(C5454,""en"",""hr"")"),"Standardni komplet gumba za podešavanje težine")</f>
        <v>Standardni komplet gumba za podešavanje težine</v>
      </c>
    </row>
    <row r="2101" spans="1:2" x14ac:dyDescent="0.2">
      <c r="A2101" s="21" t="s">
        <v>1612</v>
      </c>
      <c r="B2101" s="18" t="str">
        <f ca="1">IFERROR(__xludf.DUMMYFUNCTION("GOOGLETRANSLATE(C5455,""en"",""hr"")"),"Čizma - standardni set kopči")</f>
        <v>Čizma - standardni set kopči</v>
      </c>
    </row>
    <row r="2102" spans="1:2" x14ac:dyDescent="0.2">
      <c r="A2102" s="21" t="s">
        <v>1613</v>
      </c>
      <c r="B2102" s="18" t="str">
        <f ca="1">IFERROR(__xludf.DUMMYFUNCTION("GOOGLETRANSLATE(C5456,""en"",""hr"")"),"Proljeće - Postavite standard")</f>
        <v>Proljeće - Postavite standard</v>
      </c>
    </row>
    <row r="2103" spans="1:2" x14ac:dyDescent="0.2">
      <c r="A2103" s="21" t="s">
        <v>1614</v>
      </c>
      <c r="B2103" s="18" t="str">
        <f ca="1">IFERROR(__xludf.DUMMYFUNCTION("GOOGLETRANSLATE(C5457,""en"",""hr"")"),"Komplet nosača sigurnosnog pojasa RH Standard")</f>
        <v>Komplet nosača sigurnosnog pojasa RH Standard</v>
      </c>
    </row>
    <row r="2104" spans="1:2" x14ac:dyDescent="0.2">
      <c r="A2104" s="21" t="s">
        <v>1615</v>
      </c>
      <c r="B2104" s="18" t="str">
        <f ca="1">IFERROR(__xludf.DUMMYFUNCTION("GOOGLETRANSLATE(C5458,""en"",""hr"")"),"Komplet nosača sigurnosnog pojasa, lijevi - standardno")</f>
        <v>Komplet nosača sigurnosnog pojasa, lijevi - standardno</v>
      </c>
    </row>
    <row r="2105" spans="1:2" x14ac:dyDescent="0.2">
      <c r="A2105" s="21" t="s">
        <v>1616</v>
      </c>
      <c r="B2105" s="18" t="str">
        <f ca="1">IFERROR(__xludf.DUMMYFUNCTION("GOOGLETRANSLATE(C5459,""en"",""hr"")"),"Bočna strana - plastična lijeva (sjedalo desno) standardno")</f>
        <v>Bočna strana - plastična lijeva (sjedalo desno) standardno</v>
      </c>
    </row>
    <row r="2106" spans="1:2" x14ac:dyDescent="0.2">
      <c r="A2106" s="21" t="s">
        <v>1617</v>
      </c>
      <c r="B2106" s="18" t="str">
        <f ca="1">IFERROR(__xludf.DUMMYFUNCTION("GOOGLETRANSLATE(C5460,""en"",""hr"")"),"Bočna strana - plastična desna (sjedalo desno) standardno")</f>
        <v>Bočna strana - plastična desna (sjedalo desno) standardno</v>
      </c>
    </row>
    <row r="2107" spans="1:2" x14ac:dyDescent="0.2">
      <c r="A2107" s="21" t="s">
        <v>1619</v>
      </c>
      <c r="B2107" s="18" t="str">
        <f ca="1">IFERROR(__xludf.DUMMYFUNCTION("GOOGLETRANSLATE(C5462,""en"",""hr"")"),"Kompresor - 12V Standard")</f>
        <v>Kompresor - 12V Standard</v>
      </c>
    </row>
    <row r="2108" spans="1:2" x14ac:dyDescent="0.2">
      <c r="A2108" s="21" t="s">
        <v>1620</v>
      </c>
      <c r="B2108" s="18" t="str">
        <f ca="1">IFERROR(__xludf.DUMMYFUNCTION("GOOGLETRANSLATE(C5463,""en"",""hr"")"),"Električni kabel, standardni")</f>
        <v>Električni kabel, standardni</v>
      </c>
    </row>
    <row r="2109" spans="1:2" x14ac:dyDescent="0.2">
      <c r="A2109" s="21" t="s">
        <v>1621</v>
      </c>
      <c r="B2109" s="18" t="str">
        <f ca="1">IFERROR(__xludf.DUMMYFUNCTION("GOOGLETRANSLATE(C5464,""en"",""hr"")"),"Komplet zračnih opruga, standard")</f>
        <v>Komplet zračnih opruga, standard</v>
      </c>
    </row>
    <row r="2110" spans="1:2" x14ac:dyDescent="0.2">
      <c r="A2110" s="21" t="s">
        <v>1622</v>
      </c>
      <c r="B2110" s="18" t="str">
        <f ca="1">IFERROR(__xludf.DUMMYFUNCTION("GOOGLETRANSLATE(C5465,""en"",""hr"")"),"Bočna strana - plastična lijeva (lijevo sjedalo) standardno")</f>
        <v>Bočna strana - plastična lijeva (lijevo sjedalo) standardno</v>
      </c>
    </row>
    <row r="2111" spans="1:2" x14ac:dyDescent="0.2">
      <c r="A2111" s="21" t="s">
        <v>1623</v>
      </c>
      <c r="B2111" s="18" t="str">
        <f ca="1">IFERROR(__xludf.DUMMYFUNCTION("GOOGLETRANSLATE(C5466,""en"",""hr"")"),"Bočna strana - plastična desna (sjedalo lijevo) standardno")</f>
        <v>Bočna strana - plastična desna (sjedalo lijevo) standardno</v>
      </c>
    </row>
    <row r="2112" spans="1:2" x14ac:dyDescent="0.2">
      <c r="A2112" s="21" t="s">
        <v>973</v>
      </c>
      <c r="B2112" s="18" t="str">
        <f ca="1">IFERROR(__xludf.DUMMYFUNCTION("GOOGLETRANSLATE(C3102,""en"",""hr"")"),"Glava vilice")</f>
        <v>Glava vilice</v>
      </c>
    </row>
    <row r="2113" spans="1:2" x14ac:dyDescent="0.2">
      <c r="A2113" s="21" t="s">
        <v>278</v>
      </c>
      <c r="B2113" s="18" t="str">
        <f ca="1">IFERROR(__xludf.DUMMYFUNCTION("GOOGLETRANSLATE(C609,""en"",""hr"")"),"Glava vilice")</f>
        <v>Glava vilice</v>
      </c>
    </row>
    <row r="2114" spans="1:2" x14ac:dyDescent="0.2">
      <c r="A2114" s="21" t="s">
        <v>863</v>
      </c>
      <c r="B2114" s="18" t="str">
        <f ca="1">IFERROR(__xludf.DUMMYFUNCTION("GOOGLETRANSLATE(C2536,""en"",""hr"")"),"Glava vilice")</f>
        <v>Glava vilice</v>
      </c>
    </row>
    <row r="2115" spans="1:2" x14ac:dyDescent="0.2">
      <c r="A2115" s="21" t="s">
        <v>914</v>
      </c>
      <c r="B2115" s="18" t="str">
        <f ca="1">IFERROR(__xludf.DUMMYFUNCTION("GOOGLETRANSLATE(C2744,""en"",""hr"")"),"Glava vilice")</f>
        <v>Glava vilice</v>
      </c>
    </row>
    <row r="2116" spans="1:2" x14ac:dyDescent="0.2">
      <c r="A2116" s="21" t="s">
        <v>974</v>
      </c>
      <c r="B2116" s="18" t="str">
        <f ca="1">IFERROR(__xludf.DUMMYFUNCTION("GOOGLETRANSLATE(C3103,""en"",""hr"")"),"Vijak")</f>
        <v>Vijak</v>
      </c>
    </row>
    <row r="2117" spans="1:2" x14ac:dyDescent="0.2">
      <c r="A2117" s="21" t="s">
        <v>864</v>
      </c>
      <c r="B2117" s="18" t="str">
        <f ca="1">IFERROR(__xludf.DUMMYFUNCTION("GOOGLETRANSLATE(C2537,""en"",""hr"")"),"Vijak")</f>
        <v>Vijak</v>
      </c>
    </row>
    <row r="2118" spans="1:2" x14ac:dyDescent="0.2">
      <c r="A2118" s="21" t="s">
        <v>915</v>
      </c>
      <c r="B2118" s="18" t="str">
        <f ca="1">IFERROR(__xludf.DUMMYFUNCTION("GOOGLETRANSLATE(C2746,""en"",""hr"")"),"Vijak")</f>
        <v>Vijak</v>
      </c>
    </row>
    <row r="2119" spans="1:2" x14ac:dyDescent="0.2">
      <c r="A2119" s="21" t="s">
        <v>679</v>
      </c>
      <c r="B2119" s="18" t="str">
        <f ca="1">IFERROR(__xludf.DUMMYFUNCTION("GOOGLETRANSLATE(C2121,""en"",""hr"")"),"Zglobna lopta")</f>
        <v>Zglobna lopta</v>
      </c>
    </row>
    <row r="2120" spans="1:2" x14ac:dyDescent="0.2">
      <c r="A2120" s="21" t="s">
        <v>680</v>
      </c>
      <c r="B2120" s="18" t="str">
        <f ca="1">IFERROR(__xludf.DUMMYFUNCTION("GOOGLETRANSLATE(C2122,""en"",""hr"")"),"Zglobna lopta")</f>
        <v>Zglobna lopta</v>
      </c>
    </row>
    <row r="2121" spans="1:2" x14ac:dyDescent="0.2">
      <c r="A2121" s="21" t="s">
        <v>671</v>
      </c>
      <c r="B2121" s="18" t="str">
        <f ca="1">IFERROR(__xludf.DUMMYFUNCTION("GOOGLETRANSLATE(C2108,""en"",""hr"")"),"Zglobna lopta")</f>
        <v>Zglobna lopta</v>
      </c>
    </row>
    <row r="2122" spans="1:2" x14ac:dyDescent="0.2">
      <c r="A2122" s="21" t="s">
        <v>659</v>
      </c>
      <c r="B2122" s="18" t="str">
        <f ca="1">IFERROR(__xludf.DUMMYFUNCTION("GOOGLETRANSLATE(C2084,""en"",""hr"")"),"Zglobna lopta")</f>
        <v>Zglobna lopta</v>
      </c>
    </row>
    <row r="2123" spans="1:2" x14ac:dyDescent="0.2">
      <c r="A2123" s="21" t="s">
        <v>636</v>
      </c>
      <c r="B2123" s="18" t="str">
        <f ca="1">IFERROR(__xludf.DUMMYFUNCTION("GOOGLETRANSLATE(C1958,""en"",""hr"")"),"Zglobni vijak")</f>
        <v>Zglobni vijak</v>
      </c>
    </row>
    <row r="2124" spans="1:2" x14ac:dyDescent="0.2">
      <c r="A2124" s="21" t="s">
        <v>633</v>
      </c>
      <c r="B2124" s="18" t="str">
        <f ca="1">IFERROR(__xludf.DUMMYFUNCTION("GOOGLETRANSLATE(C1948,""en"",""hr"")"),"Zglobna lopta")</f>
        <v>Zglobna lopta</v>
      </c>
    </row>
    <row r="2125" spans="1:2" x14ac:dyDescent="0.2">
      <c r="A2125" s="21" t="s">
        <v>654</v>
      </c>
      <c r="B2125" s="18" t="str">
        <f ca="1">IFERROR(__xludf.DUMMYFUNCTION("GOOGLETRANSLATE(C2044,""en"",""hr"")"),"Zglobna lopta")</f>
        <v>Zglobna lopta</v>
      </c>
    </row>
    <row r="2126" spans="1:2" x14ac:dyDescent="0.2">
      <c r="A2126" s="21" t="s">
        <v>653</v>
      </c>
      <c r="B2126" s="18" t="str">
        <f ca="1">IFERROR(__xludf.DUMMYFUNCTION("GOOGLETRANSLATE(C2039,""en"",""hr"")"),"Zglobna lopta")</f>
        <v>Zglobna lopta</v>
      </c>
    </row>
    <row r="2127" spans="1:2" x14ac:dyDescent="0.2">
      <c r="A2127" s="21" t="s">
        <v>2024</v>
      </c>
      <c r="B2127" s="18" t="str">
        <f ca="1">IFERROR(__xludf.DUMMYFUNCTION("GOOGLETRANSLATE(C6861,""en"",""hr"")"),"Glava klipnjače")</f>
        <v>Glava klipnjače</v>
      </c>
    </row>
    <row r="2128" spans="1:2" x14ac:dyDescent="0.2">
      <c r="A2128" s="21" t="s">
        <v>1007</v>
      </c>
      <c r="B2128" s="18" t="str">
        <f ca="1">IFERROR(__xludf.DUMMYFUNCTION("GOOGLETRANSLATE(C3207,""en"",""hr"")"),"Zajednički")</f>
        <v>Zajednički</v>
      </c>
    </row>
    <row r="2129" spans="1:2" x14ac:dyDescent="0.2">
      <c r="A2129" s="21" t="s">
        <v>1014</v>
      </c>
      <c r="B2129" s="18" t="str">
        <f ca="1">IFERROR(__xludf.DUMMYFUNCTION("GOOGLETRANSLATE(C3285,""en"",""hr"")"),"Zajednički")</f>
        <v>Zajednički</v>
      </c>
    </row>
    <row r="2130" spans="1:2" x14ac:dyDescent="0.2">
      <c r="A2130" s="21" t="s">
        <v>1183</v>
      </c>
      <c r="B2130" s="18" t="str">
        <f ca="1">IFERROR(__xludf.DUMMYFUNCTION("GOOGLETRANSLATE(C3797,""en"",""hr"")"),"O-prsten")</f>
        <v>O-prsten</v>
      </c>
    </row>
    <row r="2131" spans="1:2" x14ac:dyDescent="0.2">
      <c r="A2131" s="21" t="s">
        <v>1169</v>
      </c>
      <c r="B2131" s="18" t="str">
        <f ca="1">IFERROR(__xludf.DUMMYFUNCTION("GOOGLETRANSLATE(C3780,""en"",""hr"")"),"O-prsten")</f>
        <v>O-prsten</v>
      </c>
    </row>
    <row r="2132" spans="1:2" x14ac:dyDescent="0.2">
      <c r="A2132" s="21" t="s">
        <v>1193</v>
      </c>
      <c r="B2132" s="18" t="str">
        <f ca="1">IFERROR(__xludf.DUMMYFUNCTION("GOOGLETRANSLATE(C3807,""en"",""hr"")"),"O-prsten")</f>
        <v>O-prsten</v>
      </c>
    </row>
    <row r="2133" spans="1:2" x14ac:dyDescent="0.2">
      <c r="A2133" s="21" t="s">
        <v>1175</v>
      </c>
      <c r="B2133" s="18" t="str">
        <f ca="1">IFERROR(__xludf.DUMMYFUNCTION("GOOGLETRANSLATE(C3786,""en"",""hr"")"),"O-prsten")</f>
        <v>O-prsten</v>
      </c>
    </row>
    <row r="2134" spans="1:2" x14ac:dyDescent="0.2">
      <c r="A2134" s="21" t="s">
        <v>1167</v>
      </c>
      <c r="B2134" s="18" t="str">
        <f ca="1">IFERROR(__xludf.DUMMYFUNCTION("GOOGLETRANSLATE(C3778,""en"",""hr"")"),"O-prsten")</f>
        <v>O-prsten</v>
      </c>
    </row>
    <row r="2135" spans="1:2" x14ac:dyDescent="0.2">
      <c r="A2135" s="21" t="s">
        <v>1165</v>
      </c>
      <c r="B2135" s="18" t="str">
        <f ca="1">IFERROR(__xludf.DUMMYFUNCTION("GOOGLETRANSLATE(C3776,""en"",""hr"")"),"O-prsten")</f>
        <v>O-prsten</v>
      </c>
    </row>
    <row r="2136" spans="1:2" x14ac:dyDescent="0.2">
      <c r="A2136" s="21" t="s">
        <v>1280</v>
      </c>
      <c r="B2136" s="18" t="str">
        <f ca="1">IFERROR(__xludf.DUMMYFUNCTION("GOOGLETRANSLATE(C4013,""en"",""hr"")"),"O-prsten")</f>
        <v>O-prsten</v>
      </c>
    </row>
    <row r="2137" spans="1:2" x14ac:dyDescent="0.2">
      <c r="A2137" s="21" t="s">
        <v>1690</v>
      </c>
      <c r="B2137" s="18" t="str">
        <f ca="1">IFERROR(__xludf.DUMMYFUNCTION("GOOGLETRANSLATE(C5867,""en"",""hr"")"),"O-prsten")</f>
        <v>O-prsten</v>
      </c>
    </row>
    <row r="2138" spans="1:2" x14ac:dyDescent="0.2">
      <c r="A2138" s="21" t="s">
        <v>37</v>
      </c>
      <c r="B2138" s="18" t="str">
        <f ca="1">IFERROR(__xludf.DUMMYFUNCTION("GOOGLETRANSLATE(C53,""en"",""hr"")"),"O-prsten")</f>
        <v>O-prsten</v>
      </c>
    </row>
    <row r="2139" spans="1:2" x14ac:dyDescent="0.2">
      <c r="A2139" s="21" t="s">
        <v>1273</v>
      </c>
      <c r="B2139" s="18" t="str">
        <f ca="1">IFERROR(__xludf.DUMMYFUNCTION("GOOGLETRANSLATE(C4006,""en"",""hr"")"),"O-prsten")</f>
        <v>O-prsten</v>
      </c>
    </row>
    <row r="2140" spans="1:2" x14ac:dyDescent="0.2">
      <c r="A2140" s="21" t="s">
        <v>1178</v>
      </c>
      <c r="B2140" s="18" t="str">
        <f ca="1">IFERROR(__xludf.DUMMYFUNCTION("GOOGLETRANSLATE(C3791,""en"",""hr"")"),"O-prsten")</f>
        <v>O-prsten</v>
      </c>
    </row>
    <row r="2141" spans="1:2" x14ac:dyDescent="0.2">
      <c r="A2141" s="21" t="s">
        <v>1282</v>
      </c>
      <c r="B2141" s="18" t="str">
        <f ca="1">IFERROR(__xludf.DUMMYFUNCTION("GOOGLETRANSLATE(C4015,""en"",""hr"")"),"O-prsten")</f>
        <v>O-prsten</v>
      </c>
    </row>
    <row r="2142" spans="1:2" x14ac:dyDescent="0.2">
      <c r="A2142" s="21" t="s">
        <v>36</v>
      </c>
      <c r="B2142" s="18" t="str">
        <f ca="1">IFERROR(__xludf.DUMMYFUNCTION("GOOGLETRANSLATE(C52,""en"",""hr"")"),"O-prsten")</f>
        <v>O-prsten</v>
      </c>
    </row>
    <row r="2143" spans="1:2" x14ac:dyDescent="0.2">
      <c r="A2143" s="21" t="s">
        <v>1249</v>
      </c>
      <c r="B2143" s="18" t="str">
        <f ca="1">IFERROR(__xludf.DUMMYFUNCTION("GOOGLETRANSLATE(C3955,""en"",""hr"")"),"O-prsten")</f>
        <v>O-prsten</v>
      </c>
    </row>
    <row r="2144" spans="1:2" x14ac:dyDescent="0.2">
      <c r="A2144" s="21" t="s">
        <v>1646</v>
      </c>
      <c r="B2144" s="18" t="str">
        <f ca="1">IFERROR(__xludf.DUMMYFUNCTION("GOOGLETRANSLATE(C5574,""en"",""hr"")"),"O-prsten")</f>
        <v>O-prsten</v>
      </c>
    </row>
    <row r="2145" spans="1:2" x14ac:dyDescent="0.2">
      <c r="A2145" s="21" t="s">
        <v>1647</v>
      </c>
      <c r="B2145" s="18" t="str">
        <f ca="1">IFERROR(__xludf.DUMMYFUNCTION("GOOGLETRANSLATE(C5575,""en"",""hr"")"),"O-prsten")</f>
        <v>O-prsten</v>
      </c>
    </row>
    <row r="2146" spans="1:2" x14ac:dyDescent="0.2">
      <c r="A2146" s="21" t="s">
        <v>843</v>
      </c>
      <c r="B2146" s="18" t="str">
        <f ca="1">IFERROR(__xludf.DUMMYFUNCTION("GOOGLETRANSLATE(C2506,""en"",""hr"")"),"Strugački prsten")</f>
        <v>Strugački prsten</v>
      </c>
    </row>
    <row r="2147" spans="1:2" x14ac:dyDescent="0.2">
      <c r="A2147" s="21" t="s">
        <v>1267</v>
      </c>
      <c r="B2147" s="18" t="str">
        <f ca="1">IFERROR(__xludf.DUMMYFUNCTION("GOOGLETRANSLATE(C3999,""en"",""hr"")"),"Set spojnica")</f>
        <v>Set spojnica</v>
      </c>
    </row>
    <row r="2148" spans="1:2" x14ac:dyDescent="0.2">
      <c r="A2148" s="21" t="s">
        <v>1914</v>
      </c>
      <c r="B2148" s="18" t="str">
        <f ca="1">IFERROR(__xludf.DUMMYFUNCTION("GOOGLETRANSLATE(C6673,""en"",""hr"")"),"Priključak")</f>
        <v>Priključak</v>
      </c>
    </row>
    <row r="2149" spans="1:2" x14ac:dyDescent="0.2">
      <c r="A2149" s="21" t="s">
        <v>1105</v>
      </c>
      <c r="B2149" s="18" t="str">
        <f ca="1">IFERROR(__xludf.DUMMYFUNCTION("GOOGLETRANSLATE(C3575,""en"",""hr"")"),"Fiksno kvačilo")</f>
        <v>Fiksno kvačilo</v>
      </c>
    </row>
    <row r="2150" spans="1:2" x14ac:dyDescent="0.2">
      <c r="A2150" s="21" t="s">
        <v>1050</v>
      </c>
      <c r="B2150" s="18" t="str">
        <f ca="1">IFERROR(__xludf.DUMMYFUNCTION("GOOGLETRANSLATE(C3435,""en"",""hr"")"),"Storz kvačilo")</f>
        <v>Storz kvačilo</v>
      </c>
    </row>
    <row r="2151" spans="1:2" x14ac:dyDescent="0.2">
      <c r="A2151" s="21" t="s">
        <v>1111</v>
      </c>
      <c r="B2151" s="18" t="str">
        <f ca="1">IFERROR(__xludf.DUMMYFUNCTION("GOOGLETRANSLATE(C3591,""en"",""hr"")"),"Storz kvačilo")</f>
        <v>Storz kvačilo</v>
      </c>
    </row>
    <row r="2152" spans="1:2" x14ac:dyDescent="0.2">
      <c r="A2152" s="21" t="s">
        <v>1054</v>
      </c>
      <c r="B2152" s="18" t="str">
        <f ca="1">IFERROR(__xludf.DUMMYFUNCTION("GOOGLETRANSLATE(C3440,""en"",""hr"")"),"Lažna spojka")</f>
        <v>Lažna spojka</v>
      </c>
    </row>
    <row r="2153" spans="1:2" x14ac:dyDescent="0.2">
      <c r="A2153" s="21" t="s">
        <v>268</v>
      </c>
      <c r="B2153" s="18" t="str">
        <f ca="1">IFERROR(__xludf.DUMMYFUNCTION("GOOGLETRANSLATE(C588,""en"",""hr"")"),"Distributer")</f>
        <v>Distributer</v>
      </c>
    </row>
    <row r="2154" spans="1:2" x14ac:dyDescent="0.2">
      <c r="A2154" s="21" t="s">
        <v>1716</v>
      </c>
      <c r="B2154" s="18" t="str">
        <f ca="1">IFERROR(__xludf.DUMMYFUNCTION("GOOGLETRANSLATE(C5958,""en"",""hr"")"),"Veza")</f>
        <v>Veza</v>
      </c>
    </row>
    <row r="2155" spans="1:2" x14ac:dyDescent="0.2">
      <c r="A2155" s="21" t="s">
        <v>246</v>
      </c>
      <c r="B2155" s="18" t="str">
        <f ca="1">IFERROR(__xludf.DUMMYFUNCTION("GOOGLETRANSLATE(C516,""en"",""hr"")"),"Ravni uvrtni vijčani spoj")</f>
        <v>Ravni uvrtni vijčani spoj</v>
      </c>
    </row>
    <row r="2156" spans="1:2" x14ac:dyDescent="0.2">
      <c r="A2156" s="21" t="s">
        <v>1740</v>
      </c>
      <c r="B2156" s="18" t="str">
        <f ca="1">IFERROR(__xludf.DUMMYFUNCTION("GOOGLETRANSLATE(C6073,""en"",""hr"")"),"Križno pristajanje")</f>
        <v>Križno pristajanje</v>
      </c>
    </row>
    <row r="2157" spans="1:2" x14ac:dyDescent="0.2">
      <c r="A2157" s="21" t="s">
        <v>252</v>
      </c>
      <c r="B2157" s="18" t="str">
        <f ca="1">IFERROR(__xludf.DUMMYFUNCTION("GOOGLETRANSLATE(C533,""en"",""hr"")"),"T-utičnica")</f>
        <v>T-utičnica</v>
      </c>
    </row>
    <row r="2158" spans="1:2" x14ac:dyDescent="0.2">
      <c r="A2158" s="21" t="s">
        <v>240</v>
      </c>
      <c r="B2158" s="18" t="str">
        <f ca="1">IFERROR(__xludf.DUMMYFUNCTION("GOOGLETRANSLATE(C505,""en"",""hr"")"),"T-utičnica")</f>
        <v>T-utičnica</v>
      </c>
    </row>
    <row r="2159" spans="1:2" x14ac:dyDescent="0.2">
      <c r="A2159" s="21" t="s">
        <v>930</v>
      </c>
      <c r="B2159" s="18" t="str">
        <f ca="1">IFERROR(__xludf.DUMMYFUNCTION("GOOGLETRANSLATE(C2812,""en"",""hr"")"),"Priključak")</f>
        <v>Priključak</v>
      </c>
    </row>
    <row r="2160" spans="1:2" x14ac:dyDescent="0.2">
      <c r="A2160" s="21" t="s">
        <v>763</v>
      </c>
      <c r="B2160" s="18" t="str">
        <f ca="1">IFERROR(__xludf.DUMMYFUNCTION("GOOGLETRANSLATE(C2375,""en"",""hr"")"),"Priključak")</f>
        <v>Priključak</v>
      </c>
    </row>
    <row r="2161" spans="1:2" x14ac:dyDescent="0.2">
      <c r="A2161" s="21" t="s">
        <v>1739</v>
      </c>
      <c r="B2161" s="18" t="str">
        <f ca="1">IFERROR(__xludf.DUMMYFUNCTION("GOOGLETRANSLATE(C6071,""en"",""hr"")"),"Veza")</f>
        <v>Veza</v>
      </c>
    </row>
    <row r="2162" spans="1:2" x14ac:dyDescent="0.2">
      <c r="A2162" s="21" t="s">
        <v>1346</v>
      </c>
      <c r="B2162" s="18" t="str">
        <f ca="1">IFERROR(__xludf.DUMMYFUNCTION("GOOGLETRANSLATE(C4239,""en"",""hr"")"),"Koljenasti vijčani spoj podesiv")</f>
        <v>Koljenasti vijčani spoj podesiv</v>
      </c>
    </row>
    <row r="2163" spans="1:2" x14ac:dyDescent="0.2">
      <c r="A2163" s="21" t="s">
        <v>1317</v>
      </c>
      <c r="B2163" s="18" t="str">
        <f ca="1">IFERROR(__xludf.DUMMYFUNCTION("GOOGLETRANSLATE(C4154,""en"",""hr"")"),"Veza")</f>
        <v>Veza</v>
      </c>
    </row>
    <row r="2164" spans="1:2" x14ac:dyDescent="0.2">
      <c r="A2164" s="21" t="s">
        <v>1353</v>
      </c>
      <c r="B2164" s="18" t="str">
        <f ca="1">IFERROR(__xludf.DUMMYFUNCTION("GOOGLETRANSLATE(C4292,""en"",""hr"")"),"Odstojna cijev")</f>
        <v>Odstojna cijev</v>
      </c>
    </row>
    <row r="2165" spans="1:2" x14ac:dyDescent="0.2">
      <c r="A2165" s="21" t="s">
        <v>757</v>
      </c>
      <c r="B2165" s="18" t="str">
        <f ca="1">IFERROR(__xludf.DUMMYFUNCTION("GOOGLETRANSLATE(C2364,""en"",""hr"")"),"Koljeno prirubnice")</f>
        <v>Koljeno prirubnice</v>
      </c>
    </row>
    <row r="2166" spans="1:2" x14ac:dyDescent="0.2">
      <c r="A2166" s="21" t="s">
        <v>1303</v>
      </c>
      <c r="B2166" s="18" t="str">
        <f ca="1">IFERROR(__xludf.DUMMYFUNCTION("GOOGLETRANSLATE(C4117,""en"",""hr"")"),"Koljeno prirubnice")</f>
        <v>Koljeno prirubnice</v>
      </c>
    </row>
    <row r="2167" spans="1:2" x14ac:dyDescent="0.2">
      <c r="A2167" s="21" t="s">
        <v>489</v>
      </c>
      <c r="B2167" s="18" t="str">
        <f ca="1">IFERROR(__xludf.DUMMYFUNCTION("GOOGLETRANSLATE(C1187,""en"",""hr"")"),"Koljeno prirubnice")</f>
        <v>Koljeno prirubnice</v>
      </c>
    </row>
    <row r="2168" spans="1:2" x14ac:dyDescent="0.2">
      <c r="A2168" s="21" t="s">
        <v>1686</v>
      </c>
      <c r="B2168" s="18" t="str">
        <f ca="1">IFERROR(__xludf.DUMMYFUNCTION("GOOGLETRANSLATE(C5843,""en"",""hr"")"),"Veza")</f>
        <v>Veza</v>
      </c>
    </row>
    <row r="2169" spans="1:2" x14ac:dyDescent="0.2">
      <c r="A2169" s="21" t="s">
        <v>682</v>
      </c>
      <c r="B2169" s="18" t="str">
        <f ca="1">IFERROR(__xludf.DUMMYFUNCTION("GOOGLETRANSLATE(C2127,""en"",""hr"")"),"Veza")</f>
        <v>Veza</v>
      </c>
    </row>
    <row r="2170" spans="1:2" x14ac:dyDescent="0.2">
      <c r="A2170" s="21" t="s">
        <v>608</v>
      </c>
      <c r="B2170" s="18" t="str">
        <f ca="1">IFERROR(__xludf.DUMMYFUNCTION("GOOGLETRANSLATE(C1882,""en"",""hr"")"),"Veza")</f>
        <v>Veza</v>
      </c>
    </row>
    <row r="2171" spans="1:2" x14ac:dyDescent="0.2">
      <c r="A2171" s="21" t="s">
        <v>475</v>
      </c>
      <c r="B2171" s="18" t="str">
        <f ca="1">IFERROR(__xludf.DUMMYFUNCTION("GOOGLETRANSLATE(C1146,""en"",""hr"")"),"Rotirajuća spojka")</f>
        <v>Rotirajuća spojka</v>
      </c>
    </row>
    <row r="2172" spans="1:2" x14ac:dyDescent="0.2">
      <c r="A2172" s="21" t="s">
        <v>645</v>
      </c>
      <c r="B2172" s="18" t="str">
        <f ca="1">IFERROR(__xludf.DUMMYFUNCTION("GOOGLETRANSLATE(C2002,""en"",""hr"")"),"Veza")</f>
        <v>Veza</v>
      </c>
    </row>
    <row r="2173" spans="1:2" x14ac:dyDescent="0.2">
      <c r="A2173" s="21" t="s">
        <v>646</v>
      </c>
      <c r="B2173" s="18" t="str">
        <f ca="1">IFERROR(__xludf.DUMMYFUNCTION("GOOGLETRANSLATE(C2003,""en"",""hr"")"),"Veza")</f>
        <v>Veza</v>
      </c>
    </row>
    <row r="2174" spans="1:2" x14ac:dyDescent="0.2">
      <c r="A2174" s="21" t="s">
        <v>314</v>
      </c>
      <c r="B2174" s="18" t="str">
        <f ca="1">IFERROR(__xludf.DUMMYFUNCTION("GOOGLETRANSLATE(C695,""en"",""hr"")"),"Veza")</f>
        <v>Veza</v>
      </c>
    </row>
    <row r="2175" spans="1:2" x14ac:dyDescent="0.2">
      <c r="A2175" s="21" t="s">
        <v>241</v>
      </c>
      <c r="B2175" s="18" t="str">
        <f ca="1">IFERROR(__xludf.DUMMYFUNCTION("GOOGLETRANSLATE(C506,""en"",""hr"")"),"Veza")</f>
        <v>Veza</v>
      </c>
    </row>
    <row r="2176" spans="1:2" x14ac:dyDescent="0.2">
      <c r="A2176" s="21" t="s">
        <v>739</v>
      </c>
      <c r="B2176" s="18" t="str">
        <f ca="1">IFERROR(__xludf.DUMMYFUNCTION("GOOGLETRANSLATE(C2327,""en"",""hr"")"),"Koljenasti vijčani spoj")</f>
        <v>Koljenasti vijčani spoj</v>
      </c>
    </row>
    <row r="2177" spans="1:2" x14ac:dyDescent="0.2">
      <c r="A2177" s="21" t="s">
        <v>694</v>
      </c>
      <c r="B2177" s="18" t="str">
        <f ca="1">IFERROR(__xludf.DUMMYFUNCTION("GOOGLETRANSLATE(C2202,""en"",""hr"")"),"Koljenasti vijčani spoj")</f>
        <v>Koljenasti vijčani spoj</v>
      </c>
    </row>
    <row r="2178" spans="1:2" x14ac:dyDescent="0.2">
      <c r="A2178" s="21" t="s">
        <v>736</v>
      </c>
      <c r="B2178" s="18" t="str">
        <f ca="1">IFERROR(__xludf.DUMMYFUNCTION("GOOGLETRANSLATE(C2321,""en"",""hr"")"),"Koljenasti vijčani spoj")</f>
        <v>Koljenasti vijčani spoj</v>
      </c>
    </row>
    <row r="2179" spans="1:2" x14ac:dyDescent="0.2">
      <c r="A2179" s="21" t="s">
        <v>1789</v>
      </c>
      <c r="B2179" s="18" t="str">
        <f ca="1">IFERROR(__xludf.DUMMYFUNCTION("GOOGLETRANSLATE(C6209,""en"",""hr"")"),"Koljenasti vijčani spoj")</f>
        <v>Koljenasti vijčani spoj</v>
      </c>
    </row>
    <row r="2180" spans="1:2" x14ac:dyDescent="0.2">
      <c r="A2180" s="21" t="s">
        <v>315</v>
      </c>
      <c r="B2180" s="18" t="str">
        <f ca="1">IFERROR(__xludf.DUMMYFUNCTION("GOOGLETRANSLATE(C702,""en"",""hr"")"),"Rotirajuća spojka")</f>
        <v>Rotirajuća spojka</v>
      </c>
    </row>
    <row r="2181" spans="1:2" x14ac:dyDescent="0.2">
      <c r="A2181" s="21" t="s">
        <v>1741</v>
      </c>
      <c r="B2181" s="18" t="str">
        <f ca="1">IFERROR(__xludf.DUMMYFUNCTION("GOOGLETRANSLATE(C6080,""en"",""hr"")"),"Koljenasti vijčani spoj")</f>
        <v>Koljenasti vijčani spoj</v>
      </c>
    </row>
    <row r="2182" spans="1:2" x14ac:dyDescent="0.2">
      <c r="A2182" s="21" t="s">
        <v>1374</v>
      </c>
      <c r="B2182" s="18" t="str">
        <f ca="1">IFERROR(__xludf.DUMMYFUNCTION("GOOGLETRANSLATE(C4354,""en"",""hr"")"),"Rotirajuća spojka")</f>
        <v>Rotirajuća spojka</v>
      </c>
    </row>
    <row r="2183" spans="1:2" x14ac:dyDescent="0.2">
      <c r="A2183" s="21" t="s">
        <v>1159</v>
      </c>
      <c r="B2183" s="18" t="str">
        <f ca="1">IFERROR(__xludf.DUMMYFUNCTION("GOOGLETRANSLATE(C3762,""en"",""hr"")"),"Rotirajuća spojka")</f>
        <v>Rotirajuća spojka</v>
      </c>
    </row>
    <row r="2184" spans="1:2" x14ac:dyDescent="0.2">
      <c r="A2184" s="21" t="s">
        <v>1790</v>
      </c>
      <c r="B2184" s="18" t="str">
        <f ca="1">IFERROR(__xludf.DUMMYFUNCTION("GOOGLETRANSLATE(C6210,""en"",""hr"")"),"Rotirajuća spojka")</f>
        <v>Rotirajuća spojka</v>
      </c>
    </row>
    <row r="2185" spans="1:2" x14ac:dyDescent="0.2">
      <c r="A2185" s="21" t="s">
        <v>1792</v>
      </c>
      <c r="B2185" s="18" t="str">
        <f ca="1">IFERROR(__xludf.DUMMYFUNCTION("GOOGLETRANSLATE(C6229,""en"",""hr"")"),"Koljenasti vijčani spoj")</f>
        <v>Koljenasti vijčani spoj</v>
      </c>
    </row>
    <row r="2186" spans="1:2" x14ac:dyDescent="0.2">
      <c r="A2186" s="21" t="s">
        <v>1404</v>
      </c>
      <c r="B2186" s="18" t="str">
        <f ca="1">IFERROR(__xludf.DUMMYFUNCTION("GOOGLETRANSLATE(C4557,""en"",""hr"")"),"T-utičnica")</f>
        <v>T-utičnica</v>
      </c>
    </row>
    <row r="2187" spans="1:2" x14ac:dyDescent="0.2">
      <c r="A2187" s="21" t="s">
        <v>703</v>
      </c>
      <c r="B2187" s="18" t="str">
        <f ca="1">IFERROR(__xludf.DUMMYFUNCTION("GOOGLETRANSLATE(C2219,""en"",""hr"")"),"T-utičnica")</f>
        <v>T-utičnica</v>
      </c>
    </row>
    <row r="2188" spans="1:2" x14ac:dyDescent="0.2">
      <c r="A2188" s="21" t="s">
        <v>370</v>
      </c>
      <c r="B2188" s="18" t="str">
        <f ca="1">IFERROR(__xludf.DUMMYFUNCTION("GOOGLETRANSLATE(C843,""en"",""hr"")"),"Priključak")</f>
        <v>Priključak</v>
      </c>
    </row>
    <row r="2189" spans="1:2" x14ac:dyDescent="0.2">
      <c r="A2189" s="21" t="s">
        <v>1252</v>
      </c>
      <c r="B2189" s="18" t="str">
        <f ca="1">IFERROR(__xludf.DUMMYFUNCTION("GOOGLETRANSLATE(C3961,""en"",""hr"")"),"Priključak")</f>
        <v>Priključak</v>
      </c>
    </row>
    <row r="2190" spans="1:2" x14ac:dyDescent="0.2">
      <c r="A2190" s="21" t="s">
        <v>482</v>
      </c>
      <c r="B2190" s="18" t="str">
        <f ca="1">IFERROR(__xludf.DUMMYFUNCTION("GOOGLETRANSLATE(C1161,""en"",""hr"")"),"Veza")</f>
        <v>Veza</v>
      </c>
    </row>
    <row r="2191" spans="1:2" x14ac:dyDescent="0.2">
      <c r="A2191" s="21" t="s">
        <v>1698</v>
      </c>
      <c r="B2191" s="18" t="str">
        <f ca="1">IFERROR(__xludf.DUMMYFUNCTION("GOOGLETRANSLATE(C5893,""en"",""hr"")"),"Povratni ventil")</f>
        <v>Povratni ventil</v>
      </c>
    </row>
    <row r="2192" spans="1:2" x14ac:dyDescent="0.2">
      <c r="A2192" s="21" t="s">
        <v>365</v>
      </c>
      <c r="B2192" s="18" t="str">
        <f ca="1">IFERROR(__xludf.DUMMYFUNCTION("GOOGLETRANSLATE(C823,""en"",""hr"")"),"Cijev")</f>
        <v>Cijev</v>
      </c>
    </row>
    <row r="2193" spans="1:2" x14ac:dyDescent="0.2">
      <c r="A2193" s="21" t="s">
        <v>366</v>
      </c>
      <c r="B2193" s="18" t="str">
        <f ca="1">IFERROR(__xludf.DUMMYFUNCTION("GOOGLETRANSLATE(C824,""en"",""hr"")"),"Crijevo")</f>
        <v>Crijevo</v>
      </c>
    </row>
    <row r="2194" spans="1:2" x14ac:dyDescent="0.2">
      <c r="A2194" s="21" t="s">
        <v>699</v>
      </c>
      <c r="B2194" s="18" t="str">
        <f ca="1">IFERROR(__xludf.DUMMYFUNCTION("GOOGLETRANSLATE(C2208,""en"",""hr"")"),"Zaštita crijeva")</f>
        <v>Zaštita crijeva</v>
      </c>
    </row>
    <row r="2195" spans="1:2" x14ac:dyDescent="0.2">
      <c r="A2195" s="21" t="s">
        <v>448</v>
      </c>
      <c r="B2195" s="18" t="str">
        <f ca="1">IFERROR(__xludf.DUMMYFUNCTION("GOOGLETRANSLATE(C1073,""en"",""hr"")"),"Cijev za gorivo")</f>
        <v>Cijev za gorivo</v>
      </c>
    </row>
    <row r="2196" spans="1:2" x14ac:dyDescent="0.2">
      <c r="A2196" s="21" t="s">
        <v>449</v>
      </c>
      <c r="B2196" s="18" t="str">
        <f ca="1">IFERROR(__xludf.DUMMYFUNCTION("GOOGLETRANSLATE(C1074,""en"",""hr"")"),"Crijevo")</f>
        <v>Crijevo</v>
      </c>
    </row>
    <row r="2197" spans="1:2" x14ac:dyDescent="0.2">
      <c r="A2197" s="21" t="s">
        <v>1326</v>
      </c>
      <c r="B2197" s="18" t="str">
        <f ca="1">IFERROR(__xludf.DUMMYFUNCTION("GOOGLETRANSLATE(C4170,""en"",""hr"")"),"Cijev za vodu po metru")</f>
        <v>Cijev za vodu po metru</v>
      </c>
    </row>
    <row r="2198" spans="1:2" x14ac:dyDescent="0.2">
      <c r="A2198" s="21" t="s">
        <v>1260</v>
      </c>
      <c r="B2198" s="18" t="str">
        <f ca="1">IFERROR(__xludf.DUMMYFUNCTION("GOOGLETRANSLATE(C3981,""en"",""hr"")"),"Cijev za vodu po metru")</f>
        <v>Cijev za vodu po metru</v>
      </c>
    </row>
    <row r="2199" spans="1:2" x14ac:dyDescent="0.2">
      <c r="A2199" s="21" t="s">
        <v>1328</v>
      </c>
      <c r="B2199" s="18" t="str">
        <f ca="1">IFERROR(__xludf.DUMMYFUNCTION("GOOGLETRANSLATE(C4176,""en"",""hr"")"),"Crijevo")</f>
        <v>Crijevo</v>
      </c>
    </row>
    <row r="2200" spans="1:2" x14ac:dyDescent="0.2">
      <c r="A2200" s="21" t="s">
        <v>1217</v>
      </c>
      <c r="B2200" s="18" t="str">
        <f ca="1">IFERROR(__xludf.DUMMYFUNCTION("GOOGLETRANSLATE(C3852,""en"",""hr"")"),"Crijevo za vodu 10 metara")</f>
        <v>Crijevo za vodu 10 metara</v>
      </c>
    </row>
    <row r="2201" spans="1:2" x14ac:dyDescent="0.2">
      <c r="A2201" s="21" t="s">
        <v>1535</v>
      </c>
      <c r="B2201" s="18" t="str">
        <f ca="1">IFERROR(__xludf.DUMMYFUNCTION("GOOGLETRANSLATE(C5197,""en"",""hr"")"),"Crijevo")</f>
        <v>Crijevo</v>
      </c>
    </row>
    <row r="2202" spans="1:2" x14ac:dyDescent="0.2">
      <c r="A2202" s="21" t="s">
        <v>1259</v>
      </c>
      <c r="B2202" s="18" t="str">
        <f ca="1">IFERROR(__xludf.DUMMYFUNCTION("GOOGLETRANSLATE(C3980,""en"",""hr"")"),"Spiralno crijevo")</f>
        <v>Spiralno crijevo</v>
      </c>
    </row>
    <row r="2203" spans="1:2" x14ac:dyDescent="0.2">
      <c r="A2203" s="21" t="s">
        <v>1136</v>
      </c>
      <c r="B2203" s="18" t="str">
        <f ca="1">IFERROR(__xludf.DUMMYFUNCTION("GOOGLETRANSLATE(C3694,""en"",""hr"")"),"Tlačno crijevo po metru")</f>
        <v>Tlačno crijevo po metru</v>
      </c>
    </row>
    <row r="2204" spans="1:2" x14ac:dyDescent="0.2">
      <c r="A2204" s="21" t="s">
        <v>1106</v>
      </c>
      <c r="B2204" s="18" t="str">
        <f ca="1">IFERROR(__xludf.DUMMYFUNCTION("GOOGLETRANSLATE(C3576,""en"",""hr"")"),"Crijevo po metru")</f>
        <v>Crijevo po metru</v>
      </c>
    </row>
    <row r="2205" spans="1:2" x14ac:dyDescent="0.2">
      <c r="A2205" s="21" t="s">
        <v>1470</v>
      </c>
      <c r="B2205" s="18" t="str">
        <f ca="1">IFERROR(__xludf.DUMMYFUNCTION("GOOGLETRANSLATE(C4917,""en"",""hr"")"),"Crijevo, Tlak")</f>
        <v>Crijevo, Tlak</v>
      </c>
    </row>
    <row r="2206" spans="1:2" x14ac:dyDescent="0.2">
      <c r="A2206" s="21" t="s">
        <v>1115</v>
      </c>
      <c r="B2206" s="18" t="str">
        <f ca="1">IFERROR(__xludf.DUMMYFUNCTION("GOOGLETRANSLATE(C3605,""en"",""hr"")"),"Crijevo hladnjaka")</f>
        <v>Crijevo hladnjaka</v>
      </c>
    </row>
    <row r="2207" spans="1:2" x14ac:dyDescent="0.2">
      <c r="A2207" s="21" t="s">
        <v>587</v>
      </c>
      <c r="B2207" s="18" t="str">
        <f ca="1">IFERROR(__xludf.DUMMYFUNCTION("GOOGLETRANSLATE(C1628,""en"",""hr"")"),"Crijevo po metru")</f>
        <v>Crijevo po metru</v>
      </c>
    </row>
    <row r="2208" spans="1:2" x14ac:dyDescent="0.2">
      <c r="A2208" s="21" t="s">
        <v>585</v>
      </c>
      <c r="B2208" s="18" t="str">
        <f ca="1">IFERROR(__xludf.DUMMYFUNCTION("GOOGLETRANSLATE(C1622,""en"",""hr"")"),"Crijevo po metru")</f>
        <v>Crijevo po metru</v>
      </c>
    </row>
    <row r="2209" spans="1:2" x14ac:dyDescent="0.2">
      <c r="A2209" s="21" t="s">
        <v>542</v>
      </c>
      <c r="B2209" s="18" t="str">
        <f ca="1">IFERROR(__xludf.DUMMYFUNCTION("GOOGLETRANSLATE(C1431,""en"",""hr"")"),"Crijevo po metru")</f>
        <v>Crijevo po metru</v>
      </c>
    </row>
    <row r="2210" spans="1:2" x14ac:dyDescent="0.2">
      <c r="A2210" s="21" t="s">
        <v>586</v>
      </c>
      <c r="B2210" s="18" t="str">
        <f ca="1">IFERROR(__xludf.DUMMYFUNCTION("GOOGLETRANSLATE(C1623,""en"",""hr"")"),"Crijevo")</f>
        <v>Crijevo</v>
      </c>
    </row>
    <row r="2211" spans="1:2" x14ac:dyDescent="0.2">
      <c r="A2211" s="21" t="s">
        <v>1537</v>
      </c>
      <c r="B2211" s="18" t="str">
        <f ca="1">IFERROR(__xludf.DUMMYFUNCTION("GOOGLETRANSLATE(C5211,""en"",""hr"")"),"Crijevo")</f>
        <v>Crijevo</v>
      </c>
    </row>
    <row r="2212" spans="1:2" x14ac:dyDescent="0.2">
      <c r="A2212" s="21" t="s">
        <v>201</v>
      </c>
      <c r="B2212" s="18" t="str">
        <f ca="1">IFERROR(__xludf.DUMMYFUNCTION("GOOGLETRANSLATE(C435,""en"",""hr"")"),"Zavojnica vrpce")</f>
        <v>Zavojnica vrpce</v>
      </c>
    </row>
    <row r="2213" spans="1:2" x14ac:dyDescent="0.2">
      <c r="A2213" s="21" t="s">
        <v>202</v>
      </c>
      <c r="B2213" s="18" t="str">
        <f ca="1">IFERROR(__xludf.DUMMYFUNCTION("GOOGLETRANSLATE(C436,""en"",""hr"")"),"Zavojnica vrpce")</f>
        <v>Zavojnica vrpce</v>
      </c>
    </row>
    <row r="2214" spans="1:2" x14ac:dyDescent="0.2">
      <c r="A2214" s="21" t="s">
        <v>1794</v>
      </c>
      <c r="B2214" s="18" t="str">
        <f ca="1">IFERROR(__xludf.DUMMYFUNCTION("GOOGLETRANSLATE(C6235,""en"",""hr"")"),"Zavojnica vrpce")</f>
        <v>Zavojnica vrpce</v>
      </c>
    </row>
    <row r="2215" spans="1:2" x14ac:dyDescent="0.2">
      <c r="A2215" s="21" t="s">
        <v>367</v>
      </c>
      <c r="B2215" s="18" t="str">
        <f ca="1">IFERROR(__xludf.DUMMYFUNCTION("GOOGLETRANSLATE(C825,""en"",""hr"")"),"Zavojnica vrpce")</f>
        <v>Zavojnica vrpce</v>
      </c>
    </row>
    <row r="2216" spans="1:2" x14ac:dyDescent="0.2">
      <c r="A2216" s="21" t="s">
        <v>795</v>
      </c>
      <c r="B2216" s="18" t="str">
        <f ca="1">IFERROR(__xludf.DUMMYFUNCTION("GOOGLETRANSLATE(C2428,""en"",""hr"")"),"Stezaljka")</f>
        <v>Stezaljka</v>
      </c>
    </row>
    <row r="2217" spans="1:2" x14ac:dyDescent="0.2">
      <c r="A2217" s="21" t="s">
        <v>935</v>
      </c>
      <c r="B2217" s="18" t="str">
        <f ca="1">IFERROR(__xludf.DUMMYFUNCTION("GOOGLETRANSLATE(C2853,""en"",""hr"")"),"Držač")</f>
        <v>Držač</v>
      </c>
    </row>
    <row r="2218" spans="1:2" x14ac:dyDescent="0.2">
      <c r="A2218" s="21" t="s">
        <v>766</v>
      </c>
      <c r="B2218" s="18" t="str">
        <f ca="1">IFERROR(__xludf.DUMMYFUNCTION("GOOGLETRANSLATE(C2383,""en"",""hr"")"),"Stezaljka za cijevi")</f>
        <v>Stezaljka za cijevi</v>
      </c>
    </row>
    <row r="2219" spans="1:2" x14ac:dyDescent="0.2">
      <c r="A2219" s="21" t="s">
        <v>1648</v>
      </c>
      <c r="B2219" s="18" t="str">
        <f ca="1">IFERROR(__xludf.DUMMYFUNCTION("GOOGLETRANSLATE(C5576,""en"",""hr"")"),"Stezaljka za cijevi")</f>
        <v>Stezaljka za cijevi</v>
      </c>
    </row>
    <row r="2220" spans="1:2" x14ac:dyDescent="0.2">
      <c r="A2220" s="21" t="s">
        <v>1791</v>
      </c>
      <c r="B2220" s="18" t="str">
        <f ca="1">IFERROR(__xludf.DUMMYFUNCTION("GOOGLETRANSLATE(C6228,""en"",""hr"")"),"Stezaljka za cijevi")</f>
        <v>Stezaljka za cijevi</v>
      </c>
    </row>
    <row r="2221" spans="1:2" x14ac:dyDescent="0.2">
      <c r="A2221" s="21" t="s">
        <v>1649</v>
      </c>
      <c r="B2221" s="18" t="str">
        <f ca="1">IFERROR(__xludf.DUMMYFUNCTION("GOOGLETRANSLATE(C5577,""en"",""hr"")"),"Stezaljka za cijevi")</f>
        <v>Stezaljka za cijevi</v>
      </c>
    </row>
    <row r="2222" spans="1:2" x14ac:dyDescent="0.2">
      <c r="A2222" s="21" t="s">
        <v>257</v>
      </c>
      <c r="B2222" s="18" t="str">
        <f ca="1">IFERROR(__xludf.DUMMYFUNCTION("GOOGLETRANSLATE(C557,""en"",""hr"")"),"Stezaljka za cijevi")</f>
        <v>Stezaljka za cijevi</v>
      </c>
    </row>
    <row r="2223" spans="1:2" x14ac:dyDescent="0.2">
      <c r="A2223" s="21" t="s">
        <v>854</v>
      </c>
      <c r="B2223" s="18" t="str">
        <f ca="1">IFERROR(__xludf.DUMMYFUNCTION("GOOGLETRANSLATE(C2522,""en"",""hr"")"),"Stezaljka za cijevi")</f>
        <v>Stezaljka za cijevi</v>
      </c>
    </row>
    <row r="2224" spans="1:2" x14ac:dyDescent="0.2">
      <c r="A2224" s="21" t="s">
        <v>427</v>
      </c>
      <c r="B2224" s="18" t="str">
        <f ca="1">IFERROR(__xludf.DUMMYFUNCTION("GOOGLETRANSLATE(C1012,""en"",""hr"")"),"Stezaljka za cijevi")</f>
        <v>Stezaljka za cijevi</v>
      </c>
    </row>
    <row r="2225" spans="1:2" x14ac:dyDescent="0.2">
      <c r="A2225" s="21" t="s">
        <v>832</v>
      </c>
      <c r="B2225" s="18" t="str">
        <f ca="1">IFERROR(__xludf.DUMMYFUNCTION("GOOGLETRANSLATE(C2491,""en"",""hr"")"),"Stezaljka za cijevi")</f>
        <v>Stezaljka za cijevi</v>
      </c>
    </row>
    <row r="2226" spans="1:2" x14ac:dyDescent="0.2">
      <c r="A2226" s="21" t="s">
        <v>1653</v>
      </c>
      <c r="B2226" s="18" t="str">
        <f ca="1">IFERROR(__xludf.DUMMYFUNCTION("GOOGLETRANSLATE(C5622,""en"",""hr"")"),"Stezaljka za cijevi")</f>
        <v>Stezaljka za cijevi</v>
      </c>
    </row>
    <row r="2227" spans="1:2" x14ac:dyDescent="0.2">
      <c r="A2227" s="21" t="s">
        <v>433</v>
      </c>
      <c r="B2227" s="18" t="str">
        <f ca="1">IFERROR(__xludf.DUMMYFUNCTION("GOOGLETRANSLATE(C1032,""en"",""hr"")"),"Stezaljka za cijevi")</f>
        <v>Stezaljka za cijevi</v>
      </c>
    </row>
    <row r="2228" spans="1:2" x14ac:dyDescent="0.2">
      <c r="A2228" s="21" t="s">
        <v>1665</v>
      </c>
      <c r="B2228" s="18" t="str">
        <f ca="1">IFERROR(__xludf.DUMMYFUNCTION("GOOGLETRANSLATE(C5713,""en"",""hr"")"),"Stezaljka za cijevi")</f>
        <v>Stezaljka za cijevi</v>
      </c>
    </row>
    <row r="2229" spans="1:2" x14ac:dyDescent="0.2">
      <c r="A2229" s="21" t="s">
        <v>407</v>
      </c>
      <c r="B2229" s="18" t="str">
        <f ca="1">IFERROR(__xludf.DUMMYFUNCTION("GOOGLETRANSLATE(C952,""en"",""hr"")"),"Tijelo kopče")</f>
        <v>Tijelo kopče</v>
      </c>
    </row>
    <row r="2230" spans="1:2" x14ac:dyDescent="0.2">
      <c r="A2230" s="21" t="s">
        <v>1229</v>
      </c>
      <c r="B2230" s="18" t="str">
        <f ca="1">IFERROR(__xludf.DUMMYFUNCTION("GOOGLETRANSLATE(C3917,""en"",""hr"")"),"Tijelo kopče")</f>
        <v>Tijelo kopče</v>
      </c>
    </row>
    <row r="2231" spans="1:2" x14ac:dyDescent="0.2">
      <c r="A2231" s="21" t="s">
        <v>1721</v>
      </c>
      <c r="B2231" s="18" t="str">
        <f ca="1">IFERROR(__xludf.DUMMYFUNCTION("GOOGLETRANSLATE(C5983,""en"",""hr"")"),"Poklopna ploča")</f>
        <v>Poklopna ploča</v>
      </c>
    </row>
    <row r="2232" spans="1:2" x14ac:dyDescent="0.2">
      <c r="A2232" s="21" t="s">
        <v>159</v>
      </c>
      <c r="B2232" s="18" t="str">
        <f ca="1">IFERROR(__xludf.DUMMYFUNCTION("GOOGLETRANSLATE(C307,""en"",""hr"")"),"Kontra ploča")</f>
        <v>Kontra ploča</v>
      </c>
    </row>
    <row r="2233" spans="1:2" x14ac:dyDescent="0.2">
      <c r="A2233" s="21" t="s">
        <v>1427</v>
      </c>
      <c r="B2233" s="18" t="str">
        <f ca="1">IFERROR(__xludf.DUMMYFUNCTION("GOOGLETRANSLATE(C4636,""en"",""hr"")"),"Poklopna ploča")</f>
        <v>Poklopna ploča</v>
      </c>
    </row>
    <row r="2234" spans="1:2" x14ac:dyDescent="0.2">
      <c r="A2234" s="21" t="s">
        <v>1009</v>
      </c>
      <c r="B2234" s="18" t="str">
        <f ca="1">IFERROR(__xludf.DUMMYFUNCTION("GOOGLETRANSLATE(C3239,""en"",""hr"")"),"Stezaljka za crijevo")</f>
        <v>Stezaljka za crijevo</v>
      </c>
    </row>
    <row r="2235" spans="1:2" x14ac:dyDescent="0.2">
      <c r="A2235" s="21" t="s">
        <v>1704</v>
      </c>
      <c r="B2235" s="18" t="str">
        <f ca="1">IFERROR(__xludf.DUMMYFUNCTION("GOOGLETRANSLATE(C5917,""en"",""hr"")"),"Stezaljka za cijevi")</f>
        <v>Stezaljka za cijevi</v>
      </c>
    </row>
    <row r="2236" spans="1:2" x14ac:dyDescent="0.2">
      <c r="A2236" s="21" t="s">
        <v>1723</v>
      </c>
      <c r="B2236" s="18" t="str">
        <f ca="1">IFERROR(__xludf.DUMMYFUNCTION("GOOGLETRANSLATE(C5987,""en"",""hr"")"),"Stezaljka za cijevi")</f>
        <v>Stezaljka za cijevi</v>
      </c>
    </row>
    <row r="2237" spans="1:2" x14ac:dyDescent="0.2">
      <c r="A2237" s="21" t="s">
        <v>157</v>
      </c>
      <c r="B2237" s="18" t="str">
        <f ca="1">IFERROR(__xludf.DUMMYFUNCTION("GOOGLETRANSLATE(C304,""en"",""hr"")"),"Stezaljka za cijevi")</f>
        <v>Stezaljka za cijevi</v>
      </c>
    </row>
    <row r="2238" spans="1:2" x14ac:dyDescent="0.2">
      <c r="A2238" s="21" t="s">
        <v>1731</v>
      </c>
      <c r="B2238" s="18" t="str">
        <f ca="1">IFERROR(__xludf.DUMMYFUNCTION("GOOGLETRANSLATE(C6013,""en"",""hr"")"),"Stezaljka za cijevi")</f>
        <v>Stezaljka za cijevi</v>
      </c>
    </row>
    <row r="2239" spans="1:2" x14ac:dyDescent="0.2">
      <c r="A2239" s="21" t="s">
        <v>1412</v>
      </c>
      <c r="B2239" s="18" t="str">
        <f ca="1">IFERROR(__xludf.DUMMYFUNCTION("GOOGLETRANSLATE(C4581,""en"",""hr"")"),"Stezaljka za cijevi")</f>
        <v>Stezaljka za cijevi</v>
      </c>
    </row>
    <row r="2240" spans="1:2" x14ac:dyDescent="0.2">
      <c r="A2240" s="21" t="s">
        <v>1425</v>
      </c>
      <c r="B2240" s="18" t="str">
        <f ca="1">IFERROR(__xludf.DUMMYFUNCTION("GOOGLETRANSLATE(C4629,""en"",""hr"")"),"Stezaljka za cijevi")</f>
        <v>Stezaljka za cijevi</v>
      </c>
    </row>
    <row r="2241" spans="1:2" x14ac:dyDescent="0.2">
      <c r="A2241" s="21" t="s">
        <v>1706</v>
      </c>
      <c r="B2241" s="18" t="str">
        <f ca="1">IFERROR(__xludf.DUMMYFUNCTION("GOOGLETRANSLATE(C5928,""en"",""hr"")"),"Stezaljka za cijevi")</f>
        <v>Stezaljka za cijevi</v>
      </c>
    </row>
    <row r="2242" spans="1:2" x14ac:dyDescent="0.2">
      <c r="A2242" s="21" t="s">
        <v>440</v>
      </c>
      <c r="B2242" s="18" t="str">
        <f ca="1">IFERROR(__xludf.DUMMYFUNCTION("GOOGLETRANSLATE(C1062,""en"",""hr"")"),"Stezaljka za crijevo")</f>
        <v>Stezaljka za crijevo</v>
      </c>
    </row>
    <row r="2243" spans="1:2" x14ac:dyDescent="0.2">
      <c r="A2243" s="21" t="s">
        <v>445</v>
      </c>
      <c r="B2243" s="18" t="str">
        <f ca="1">IFERROR(__xludf.DUMMYFUNCTION("GOOGLETRANSLATE(C1068,""en"",""hr"")"),"Stezaljka za crijevo")</f>
        <v>Stezaljka za crijevo</v>
      </c>
    </row>
    <row r="2244" spans="1:2" x14ac:dyDescent="0.2">
      <c r="A2244" s="21" t="s">
        <v>1853</v>
      </c>
      <c r="B2244" s="18" t="str">
        <f ca="1">IFERROR(__xludf.DUMMYFUNCTION("GOOGLETRANSLATE(C6512,""en"",""hr"")"),"Stezaljka za cijevi")</f>
        <v>Stezaljka za cijevi</v>
      </c>
    </row>
    <row r="2245" spans="1:2" x14ac:dyDescent="0.2">
      <c r="A2245" s="21" t="s">
        <v>573</v>
      </c>
      <c r="B2245" s="18" t="str">
        <f ca="1">IFERROR(__xludf.DUMMYFUNCTION("GOOGLETRANSLATE(C1598,""en"",""hr"")"),"Stezaljka za cijevi")</f>
        <v>Stezaljka za cijevi</v>
      </c>
    </row>
    <row r="2246" spans="1:2" x14ac:dyDescent="0.2">
      <c r="A2246" s="21" t="s">
        <v>572</v>
      </c>
      <c r="B2246" s="18" t="str">
        <f ca="1">IFERROR(__xludf.DUMMYFUNCTION("GOOGLETRANSLATE(C1597,""en"",""hr"")"),"Stezaljka za cijevi")</f>
        <v>Stezaljka za cijevi</v>
      </c>
    </row>
    <row r="2247" spans="1:2" x14ac:dyDescent="0.2">
      <c r="A2247" s="21" t="s">
        <v>574</v>
      </c>
      <c r="B2247" s="18" t="str">
        <f ca="1">IFERROR(__xludf.DUMMYFUNCTION("GOOGLETRANSLATE(C1599,""en"",""hr"")"),"Stezaljka za cijevi")</f>
        <v>Stezaljka za cijevi</v>
      </c>
    </row>
    <row r="2248" spans="1:2" x14ac:dyDescent="0.2">
      <c r="A2248" s="21" t="s">
        <v>575</v>
      </c>
      <c r="B2248" s="18" t="str">
        <f ca="1">IFERROR(__xludf.DUMMYFUNCTION("GOOGLETRANSLATE(C1600,""en"",""hr"")"),"Stezaljka za cijevi")</f>
        <v>Stezaljka za cijevi</v>
      </c>
    </row>
    <row r="2249" spans="1:2" x14ac:dyDescent="0.2">
      <c r="A2249" s="21" t="s">
        <v>492</v>
      </c>
      <c r="B2249" s="18" t="str">
        <f ca="1">IFERROR(__xludf.DUMMYFUNCTION("GOOGLETRANSLATE(C1195,""en"",""hr"")"),"Stezaljka za cijevi")</f>
        <v>Stezaljka za cijevi</v>
      </c>
    </row>
    <row r="2250" spans="1:2" x14ac:dyDescent="0.2">
      <c r="A2250" s="21" t="s">
        <v>1701</v>
      </c>
      <c r="B2250" s="18" t="str">
        <f ca="1">IFERROR(__xludf.DUMMYFUNCTION("GOOGLETRANSLATE(C5904,""en"",""hr"")"),"Isječak")</f>
        <v>Isječak</v>
      </c>
    </row>
    <row r="2251" spans="1:2" x14ac:dyDescent="0.2">
      <c r="A2251" s="21" t="s">
        <v>583</v>
      </c>
      <c r="B2251" s="18" t="str">
        <f ca="1">IFERROR(__xludf.DUMMYFUNCTION("GOOGLETRANSLATE(C1620,""en"",""hr"")"),"Stezaljka za crijevo")</f>
        <v>Stezaljka za crijevo</v>
      </c>
    </row>
    <row r="2252" spans="1:2" x14ac:dyDescent="0.2">
      <c r="A2252" s="21" t="s">
        <v>441</v>
      </c>
      <c r="B2252" s="18" t="str">
        <f ca="1">IFERROR(__xludf.DUMMYFUNCTION("GOOGLETRANSLATE(C1063,""en"",""hr"")"),"Stezaljka za crijevo")</f>
        <v>Stezaljka za crijevo</v>
      </c>
    </row>
    <row r="2253" spans="1:2" x14ac:dyDescent="0.2">
      <c r="A2253" s="21" t="s">
        <v>442</v>
      </c>
      <c r="B2253" s="18" t="str">
        <f ca="1">IFERROR(__xludf.DUMMYFUNCTION("GOOGLETRANSLATE(C1064,""en"",""hr"")"),"Stezaljka za crijevo")</f>
        <v>Stezaljka za crijevo</v>
      </c>
    </row>
    <row r="2254" spans="1:2" x14ac:dyDescent="0.2">
      <c r="A2254" s="21" t="s">
        <v>1135</v>
      </c>
      <c r="B2254" s="18" t="str">
        <f ca="1">IFERROR(__xludf.DUMMYFUNCTION("GOOGLETRANSLATE(C3693,""en"",""hr"")"),"Stezaljka za crijevo")</f>
        <v>Stezaljka za crijevo</v>
      </c>
    </row>
    <row r="2255" spans="1:2" x14ac:dyDescent="0.2">
      <c r="A2255" s="21" t="s">
        <v>443</v>
      </c>
      <c r="B2255" s="18" t="str">
        <f ca="1">IFERROR(__xludf.DUMMYFUNCTION("GOOGLETRANSLATE(C1065,""en"",""hr"")"),"Proljetni klip")</f>
        <v>Proljetni klip</v>
      </c>
    </row>
    <row r="2256" spans="1:2" x14ac:dyDescent="0.2">
      <c r="A2256" s="21" t="s">
        <v>500</v>
      </c>
      <c r="B2256" s="18" t="str">
        <f ca="1">IFERROR(__xludf.DUMMYFUNCTION("GOOGLETRANSLATE(C1241,""en"",""hr"")"),"Stezaljka za crijevo")</f>
        <v>Stezaljka za crijevo</v>
      </c>
    </row>
    <row r="2257" spans="1:2" x14ac:dyDescent="0.2">
      <c r="A2257" s="21" t="s">
        <v>584</v>
      </c>
      <c r="B2257" s="18" t="str">
        <f ca="1">IFERROR(__xludf.DUMMYFUNCTION("GOOGLETRANSLATE(C1621,""en"",""hr"")"),"Stezaljka za crijevo")</f>
        <v>Stezaljka za crijevo</v>
      </c>
    </row>
    <row r="2258" spans="1:2" x14ac:dyDescent="0.2">
      <c r="A2258" s="21" t="s">
        <v>578</v>
      </c>
      <c r="B2258" s="18" t="str">
        <f ca="1">IFERROR(__xludf.DUMMYFUNCTION("GOOGLETRANSLATE(C1607,""en"",""hr"")"),"Stezaljka za crijevo")</f>
        <v>Stezaljka za crijevo</v>
      </c>
    </row>
    <row r="2259" spans="1:2" x14ac:dyDescent="0.2">
      <c r="A2259" s="21" t="s">
        <v>499</v>
      </c>
      <c r="B2259" s="18" t="str">
        <f ca="1">IFERROR(__xludf.DUMMYFUNCTION("GOOGLETRANSLATE(C1240,""en"",""hr"")"),"Stezaljka za crijevo")</f>
        <v>Stezaljka za crijevo</v>
      </c>
    </row>
    <row r="2260" spans="1:2" x14ac:dyDescent="0.2">
      <c r="A2260" s="21" t="s">
        <v>579</v>
      </c>
      <c r="B2260" s="18" t="str">
        <f ca="1">IFERROR(__xludf.DUMMYFUNCTION("GOOGLETRANSLATE(C1608,""en"",""hr"")"),"Stezaljka za crijevo")</f>
        <v>Stezaljka za crijevo</v>
      </c>
    </row>
    <row r="2261" spans="1:2" x14ac:dyDescent="0.2">
      <c r="A2261" s="21" t="s">
        <v>580</v>
      </c>
      <c r="B2261" s="18" t="str">
        <f ca="1">IFERROR(__xludf.DUMMYFUNCTION("GOOGLETRANSLATE(C1610,""en"",""hr"")"),"Stezaljka za crijevo")</f>
        <v>Stezaljka za crijevo</v>
      </c>
    </row>
    <row r="2262" spans="1:2" x14ac:dyDescent="0.2">
      <c r="A2262" s="21" t="s">
        <v>581</v>
      </c>
      <c r="B2262" s="18" t="str">
        <f ca="1">IFERROR(__xludf.DUMMYFUNCTION("GOOGLETRANSLATE(C1613,""en"",""hr"")"),"Stezaljka za crijevo")</f>
        <v>Stezaljka za crijevo</v>
      </c>
    </row>
    <row r="2263" spans="1:2" x14ac:dyDescent="0.2">
      <c r="A2263" s="21" t="s">
        <v>502</v>
      </c>
      <c r="B2263" s="18" t="str">
        <f ca="1">IFERROR(__xludf.DUMMYFUNCTION("GOOGLETRANSLATE(C1243,""en"",""hr"")"),"Stezaljka za crijevo")</f>
        <v>Stezaljka za crijevo</v>
      </c>
    </row>
    <row r="2264" spans="1:2" x14ac:dyDescent="0.2">
      <c r="A2264" s="21" t="s">
        <v>501</v>
      </c>
      <c r="B2264" s="18" t="str">
        <f ca="1">IFERROR(__xludf.DUMMYFUNCTION("GOOGLETRANSLATE(C1242,""en"",""hr"")"),"Proljetni klip")</f>
        <v>Proljetni klip</v>
      </c>
    </row>
    <row r="2265" spans="1:2" x14ac:dyDescent="0.2">
      <c r="A2265" s="21" t="s">
        <v>507</v>
      </c>
      <c r="B2265" s="18" t="str">
        <f ca="1">IFERROR(__xludf.DUMMYFUNCTION("GOOGLETRANSLATE(C1270,""en"",""hr"")"),"Stezaljka za crijevo")</f>
        <v>Stezaljka za crijevo</v>
      </c>
    </row>
    <row r="2266" spans="1:2" x14ac:dyDescent="0.2">
      <c r="A2266" s="21" t="s">
        <v>203</v>
      </c>
      <c r="B2266" s="18" t="str">
        <f ca="1">IFERROR(__xludf.DUMMYFUNCTION("GOOGLETRANSLATE(C437,""en"",""hr"")"),"Spojnica za kabel")</f>
        <v>Spojnica za kabel</v>
      </c>
    </row>
    <row r="2267" spans="1:2" x14ac:dyDescent="0.2">
      <c r="A2267" s="21" t="s">
        <v>857</v>
      </c>
      <c r="B2267" s="18" t="str">
        <f ca="1">IFERROR(__xludf.DUMMYFUNCTION("GOOGLETRANSLATE(C2529,""en"",""hr"")"),"Spojnica za kabel")</f>
        <v>Spojnica za kabel</v>
      </c>
    </row>
    <row r="2268" spans="1:2" x14ac:dyDescent="0.2">
      <c r="A2268" s="21" t="s">
        <v>200</v>
      </c>
      <c r="B2268" s="18" t="str">
        <f ca="1">IFERROR(__xludf.DUMMYFUNCTION("GOOGLETRANSLATE(C434,""en"",""hr"")"),"Spojnica za kabel")</f>
        <v>Spojnica za kabel</v>
      </c>
    </row>
    <row r="2269" spans="1:2" x14ac:dyDescent="0.2">
      <c r="A2269" s="21" t="s">
        <v>494</v>
      </c>
      <c r="B2269" s="18" t="str">
        <f ca="1">IFERROR(__xludf.DUMMYFUNCTION("GOOGLETRANSLATE(C1207,""en"",""hr"")"),"Utikači za kabelske vezice")</f>
        <v>Utikači za kabelske vezice</v>
      </c>
    </row>
    <row r="2270" spans="1:2" x14ac:dyDescent="0.2">
      <c r="A2270" s="21" t="s">
        <v>1825</v>
      </c>
      <c r="B2270" s="18" t="str">
        <f ca="1">IFERROR(__xludf.DUMMYFUNCTION("GOOGLETRANSLATE(C6371,""en"",""hr"")"),"Isječak")</f>
        <v>Isječak</v>
      </c>
    </row>
    <row r="2271" spans="1:2" x14ac:dyDescent="0.2">
      <c r="A2271" s="21" t="s">
        <v>550</v>
      </c>
      <c r="B2271" s="18" t="str">
        <f ca="1">IFERROR(__xludf.DUMMYFUNCTION("GOOGLETRANSLATE(C1483,""en"",""hr"")"),"Spojnica za kabel")</f>
        <v>Spojnica za kabel</v>
      </c>
    </row>
    <row r="2272" spans="1:2" x14ac:dyDescent="0.2">
      <c r="A2272" s="21" t="s">
        <v>1129</v>
      </c>
      <c r="B2272" s="18" t="str">
        <f ca="1">IFERROR(__xludf.DUMMYFUNCTION("GOOGLETRANSLATE(C3673,""en"",""hr"")"),"Kuglasti ventil")</f>
        <v>Kuglasti ventil</v>
      </c>
    </row>
    <row r="2273" spans="1:2" x14ac:dyDescent="0.2">
      <c r="A2273" s="21" t="s">
        <v>1125</v>
      </c>
      <c r="B2273" s="18" t="str">
        <f ca="1">IFERROR(__xludf.DUMMYFUNCTION("GOOGLETRANSLATE(C3662,""en"",""hr"")"),"Kutni sigurnosni ventil")</f>
        <v>Kutni sigurnosni ventil</v>
      </c>
    </row>
    <row r="2274" spans="1:2" x14ac:dyDescent="0.2">
      <c r="A2274" s="21" t="s">
        <v>1060</v>
      </c>
      <c r="B2274" s="18" t="str">
        <f ca="1">IFERROR(__xludf.DUMMYFUNCTION("GOOGLETRANSLATE(C3455,""en"",""hr"")"),"Ventil")</f>
        <v>Ventil</v>
      </c>
    </row>
    <row r="2275" spans="1:2" x14ac:dyDescent="0.2">
      <c r="A2275" s="21" t="s">
        <v>569</v>
      </c>
      <c r="B2275" s="18" t="str">
        <f ca="1">IFERROR(__xludf.DUMMYFUNCTION("GOOGLETRANSLATE(C1585,""en"",""hr"")"),"Kuglasti ventil")</f>
        <v>Kuglasti ventil</v>
      </c>
    </row>
    <row r="2276" spans="1:2" x14ac:dyDescent="0.2">
      <c r="A2276" s="21" t="s">
        <v>1266</v>
      </c>
      <c r="B2276" s="18" t="str">
        <f ca="1">IFERROR(__xludf.DUMMYFUNCTION("GOOGLETRANSLATE(C3998,""en"",""hr"")"),"Pumpa za vodu kpl.")</f>
        <v>Pumpa za vodu kpl.</v>
      </c>
    </row>
    <row r="2277" spans="1:2" x14ac:dyDescent="0.2">
      <c r="A2277" s="21" t="s">
        <v>1247</v>
      </c>
      <c r="B2277" s="18" t="str">
        <f ca="1">IFERROR(__xludf.DUMMYFUNCTION("GOOGLETRANSLATE(C3953,""en"",""hr"")"),"Filter za vodu kpl.")</f>
        <v>Filter za vodu kpl.</v>
      </c>
    </row>
    <row r="2278" spans="1:2" x14ac:dyDescent="0.2">
      <c r="A2278" s="21" t="s">
        <v>35</v>
      </c>
      <c r="B2278" s="18" t="str">
        <f ca="1">IFERROR(__xludf.DUMMYFUNCTION("GOOGLETRANSLATE(C51,""en"",""hr"")"),"Filter za vodu kpl.")</f>
        <v>Filter za vodu kpl.</v>
      </c>
    </row>
    <row r="2279" spans="1:2" x14ac:dyDescent="0.2">
      <c r="A2279" s="21" t="s">
        <v>25</v>
      </c>
      <c r="B2279" s="18" t="str">
        <f ca="1">IFERROR(__xludf.DUMMYFUNCTION("GOOGLETRANSLATE(C25,""en"",""hr"")"),"Ventilacijski filter")</f>
        <v>Ventilacijski filter</v>
      </c>
    </row>
    <row r="2280" spans="1:2" x14ac:dyDescent="0.2">
      <c r="A2280" s="21" t="s">
        <v>1682</v>
      </c>
      <c r="B2280" s="18" t="str">
        <f ca="1">IFERROR(__xludf.DUMMYFUNCTION("GOOGLETRANSLATE(C5811,""en"",""hr"")"),"Usisni filter")</f>
        <v>Usisni filter</v>
      </c>
    </row>
    <row r="2281" spans="1:2" x14ac:dyDescent="0.2">
      <c r="A2281" s="21" t="s">
        <v>1762</v>
      </c>
      <c r="B2281" s="18" t="str">
        <f ca="1">IFERROR(__xludf.DUMMYFUNCTION("GOOGLETRANSLATE(C6128,""en"",""hr"")"),"Mrežasti umetak")</f>
        <v>Mrežasti umetak</v>
      </c>
    </row>
    <row r="2282" spans="1:2" x14ac:dyDescent="0.2">
      <c r="A2282" s="21" t="s">
        <v>1141</v>
      </c>
      <c r="B2282" s="18" t="str">
        <f ca="1">IFERROR(__xludf.DUMMYFUNCTION("GOOGLETRANSLATE(C3704,""en"",""hr"")"),"Spojka")</f>
        <v>Spojka</v>
      </c>
    </row>
    <row r="2283" spans="1:2" x14ac:dyDescent="0.2">
      <c r="A2283" s="21" t="s">
        <v>1239</v>
      </c>
      <c r="B2283" s="18" t="str">
        <f ca="1">IFERROR(__xludf.DUMMYFUNCTION("GOOGLETRANSLATE(C3931,""en"",""hr"")"),"mlaznica za vodu")</f>
        <v>mlaznica za vodu</v>
      </c>
    </row>
    <row r="2284" spans="1:2" x14ac:dyDescent="0.2">
      <c r="A2284" s="21" t="s">
        <v>1302</v>
      </c>
      <c r="B2284" s="18" t="str">
        <f ca="1">IFERROR(__xludf.DUMMYFUNCTION("GOOGLETRANSLATE(C4069,""en"",""hr"")"),"Jet mlaznica")</f>
        <v>Jet mlaznica</v>
      </c>
    </row>
    <row r="2285" spans="1:2" x14ac:dyDescent="0.2">
      <c r="A2285" s="21" t="s">
        <v>648</v>
      </c>
      <c r="B2285" s="18" t="str">
        <f ca="1">IFERROR(__xludf.DUMMYFUNCTION("GOOGLETRANSLATE(C2007,""en"",""hr"")"),"Čahura")</f>
        <v>Čahura</v>
      </c>
    </row>
    <row r="2286" spans="1:2" x14ac:dyDescent="0.2">
      <c r="A2286" s="21" t="s">
        <v>649</v>
      </c>
      <c r="B2286" s="18" t="str">
        <f ca="1">IFERROR(__xludf.DUMMYFUNCTION("GOOGLETRANSLATE(C2017,""en"",""hr"")"),"Čahura")</f>
        <v>Čahura</v>
      </c>
    </row>
    <row r="2287" spans="1:2" x14ac:dyDescent="0.2">
      <c r="A2287" s="21" t="s">
        <v>691</v>
      </c>
      <c r="B2287" s="18" t="str">
        <f ca="1">IFERROR(__xludf.DUMMYFUNCTION("GOOGLETRANSLATE(C2184,""en"",""hr"")"),"Mlaznica")</f>
        <v>Mlaznica</v>
      </c>
    </row>
    <row r="2288" spans="1:2" x14ac:dyDescent="0.2">
      <c r="A2288" s="21" t="s">
        <v>745</v>
      </c>
      <c r="B2288" s="18" t="str">
        <f ca="1">IFERROR(__xludf.DUMMYFUNCTION("GOOGLETRANSLATE(C2348,""en"",""hr"")"),"Mlaznica")</f>
        <v>Mlaznica</v>
      </c>
    </row>
    <row r="2289" spans="1:2" x14ac:dyDescent="0.2">
      <c r="A2289" s="21" t="s">
        <v>985</v>
      </c>
      <c r="B2289" s="18" t="str">
        <f ca="1">IFERROR(__xludf.DUMMYFUNCTION("GOOGLETRANSLATE(C3143,""en"",""hr"")"),"Ravna mlaznica za raspršivanje")</f>
        <v>Ravna mlaznica za raspršivanje</v>
      </c>
    </row>
    <row r="2290" spans="1:2" x14ac:dyDescent="0.2">
      <c r="A2290" s="21" t="s">
        <v>972</v>
      </c>
      <c r="B2290" s="18" t="str">
        <f ca="1">IFERROR(__xludf.DUMMYFUNCTION("GOOGLETRANSLATE(C3088,""en"",""hr"")"),"Ravna mlaznica za raspršivanje")</f>
        <v>Ravna mlaznica za raspršivanje</v>
      </c>
    </row>
    <row r="2291" spans="1:2" x14ac:dyDescent="0.2">
      <c r="A2291" s="21" t="s">
        <v>1321</v>
      </c>
      <c r="B2291" s="18" t="str">
        <f ca="1">IFERROR(__xludf.DUMMYFUNCTION("GOOGLETRANSLATE(C4158,""en"",""hr"")"),"Ravna mlaznica za raspršivanje")</f>
        <v>Ravna mlaznica za raspršivanje</v>
      </c>
    </row>
    <row r="2292" spans="1:2" x14ac:dyDescent="0.2">
      <c r="A2292" s="21" t="s">
        <v>1308</v>
      </c>
      <c r="B2292" s="18" t="str">
        <f ca="1">IFERROR(__xludf.DUMMYFUNCTION("GOOGLETRANSLATE(C4127,""en"",""hr"")"),"Ravna mlaznica za raspršivanje")</f>
        <v>Ravna mlaznica za raspršivanje</v>
      </c>
    </row>
    <row r="2293" spans="1:2" x14ac:dyDescent="0.2">
      <c r="A2293" s="21" t="s">
        <v>1300</v>
      </c>
      <c r="B2293" s="18" t="str">
        <f ca="1">IFERROR(__xludf.DUMMYFUNCTION("GOOGLETRANSLATE(C4054,""en"",""hr"")"),"Ravna mlaznica za raspršivanje")</f>
        <v>Ravna mlaznica za raspršivanje</v>
      </c>
    </row>
    <row r="2294" spans="1:2" x14ac:dyDescent="0.2">
      <c r="A2294" s="21" t="s">
        <v>1005</v>
      </c>
      <c r="B2294" s="18" t="str">
        <f ca="1">IFERROR(__xludf.DUMMYFUNCTION("GOOGLETRANSLATE(C3204,""en"",""hr"")"),"ravna mlaznica za raspršivanje")</f>
        <v>ravna mlaznica za raspršivanje</v>
      </c>
    </row>
    <row r="2295" spans="1:2" x14ac:dyDescent="0.2">
      <c r="A2295" s="21" t="s">
        <v>1220</v>
      </c>
      <c r="B2295" s="18" t="str">
        <f ca="1">IFERROR(__xludf.DUMMYFUNCTION("GOOGLETRANSLATE(C3858,""en"",""hr"")"),"Ravna mlaznica za raspršivanje")</f>
        <v>Ravna mlaznica za raspršivanje</v>
      </c>
    </row>
    <row r="2296" spans="1:2" x14ac:dyDescent="0.2">
      <c r="A2296" s="21" t="s">
        <v>1301</v>
      </c>
      <c r="B2296" s="18" t="str">
        <f ca="1">IFERROR(__xludf.DUMMYFUNCTION("GOOGLETRANSLATE(C4055,""en"",""hr"")"),"puna mlaznica")</f>
        <v>puna mlaznica</v>
      </c>
    </row>
    <row r="2297" spans="1:2" x14ac:dyDescent="0.2">
      <c r="A2297" s="21" t="s">
        <v>1218</v>
      </c>
      <c r="B2297" s="18" t="str">
        <f ca="1">IFERROR(__xludf.DUMMYFUNCTION("GOOGLETRANSLATE(C3856,""en"",""hr"")"),"Čvrsta mlaznica")</f>
        <v>Čvrsta mlaznica</v>
      </c>
    </row>
    <row r="2298" spans="1:2" x14ac:dyDescent="0.2">
      <c r="A2298" s="21" t="s">
        <v>1223</v>
      </c>
      <c r="B2298" s="18" t="str">
        <f ca="1">IFERROR(__xludf.DUMMYFUNCTION("GOOGLETRANSLATE(C3866,""en"",""hr"")"),"Jet mlaznica")</f>
        <v>Jet mlaznica</v>
      </c>
    </row>
    <row r="2299" spans="1:2" x14ac:dyDescent="0.2">
      <c r="A2299" s="21" t="s">
        <v>921</v>
      </c>
      <c r="B2299" s="18" t="str">
        <f ca="1">IFERROR(__xludf.DUMMYFUNCTION("GOOGLETRANSLATE(C2768,""en"",""hr"")"),"Hidromotor")</f>
        <v>Hidromotor</v>
      </c>
    </row>
    <row r="2300" spans="1:2" x14ac:dyDescent="0.2">
      <c r="A2300" s="21" t="s">
        <v>667</v>
      </c>
      <c r="B2300" s="18" t="str">
        <f ca="1">IFERROR(__xludf.DUMMYFUNCTION("GOOGLETRANSLATE(C2097,""en"",""hr"")"),"Hidraulički motor")</f>
        <v>Hidraulički motor</v>
      </c>
    </row>
    <row r="2301" spans="1:2" x14ac:dyDescent="0.2">
      <c r="A2301" s="21" t="s">
        <v>522</v>
      </c>
      <c r="B2301" s="18" t="str">
        <f ca="1">IFERROR(__xludf.DUMMYFUNCTION("GOOGLETRANSLATE(C1355,""en"",""hr"")"),"Stezaljka za cijevi")</f>
        <v>Stezaljka za cijevi</v>
      </c>
    </row>
    <row r="2302" spans="1:2" x14ac:dyDescent="0.2">
      <c r="A2302" s="21" t="s">
        <v>523</v>
      </c>
      <c r="B2302" s="18" t="str">
        <f ca="1">IFERROR(__xludf.DUMMYFUNCTION("GOOGLETRANSLATE(C1358,""en"",""hr"")"),"Senzor temperature")</f>
        <v>Senzor temperature</v>
      </c>
    </row>
    <row r="2303" spans="1:2" x14ac:dyDescent="0.2">
      <c r="A2303" s="21" t="s">
        <v>524</v>
      </c>
      <c r="B2303" s="18" t="str">
        <f ca="1">IFERROR(__xludf.DUMMYFUNCTION("GOOGLETRANSLATE(C1359,""en"",""hr"")"),"Senzor temperature ispuha")</f>
        <v>Senzor temperature ispuha</v>
      </c>
    </row>
    <row r="2304" spans="1:2" x14ac:dyDescent="0.2">
      <c r="A2304" s="21" t="s">
        <v>538</v>
      </c>
      <c r="B2304" s="18" t="str">
        <f ca="1">IFERROR(__xludf.DUMMYFUNCTION("GOOGLETRANSLATE(C1407,""en"",""hr"")"),"Modul za opskrbu")</f>
        <v>Modul za opskrbu</v>
      </c>
    </row>
    <row r="2305" spans="1:2" x14ac:dyDescent="0.2">
      <c r="A2305" s="21" t="s">
        <v>540</v>
      </c>
      <c r="B2305" s="18" t="str">
        <f ca="1">IFERROR(__xludf.DUMMYFUNCTION("GOOGLETRANSLATE(C1414,""en"",""hr"")"),"Ventil spremnika DEF za grijanje")</f>
        <v>Ventil spremnika DEF za grijanje</v>
      </c>
    </row>
    <row r="2306" spans="1:2" x14ac:dyDescent="0.2">
      <c r="A2306" s="21" t="s">
        <v>525</v>
      </c>
      <c r="B2306" s="18" t="str">
        <f ca="1">IFERROR(__xludf.DUMMYFUNCTION("GOOGLETRANSLATE(C1362,""en"",""hr"")"),"AdBlue modul za doziranje")</f>
        <v>AdBlue modul za doziranje</v>
      </c>
    </row>
    <row r="2307" spans="1:2" x14ac:dyDescent="0.2">
      <c r="A2307" s="21" t="s">
        <v>535</v>
      </c>
      <c r="B2307" s="18" t="str">
        <f ca="1">IFERROR(__xludf.DUMMYFUNCTION("GOOGLETRANSLATE(C1398,""en"",""hr"")"),"Senzor razine AdBlue")</f>
        <v>Senzor razine AdBlue</v>
      </c>
    </row>
    <row r="2308" spans="1:2" x14ac:dyDescent="0.2">
      <c r="A2308" s="21" t="s">
        <v>103</v>
      </c>
      <c r="B2308" s="18" t="str">
        <f ca="1">IFERROR(__xludf.DUMMYFUNCTION("GOOGLETRANSLATE(C221,""en"",""hr"")"),"Kolut")</f>
        <v>Kolut</v>
      </c>
    </row>
    <row r="2309" spans="1:2" x14ac:dyDescent="0.2">
      <c r="A2309" s="21" t="s">
        <v>102</v>
      </c>
      <c r="B2309" s="18" t="str">
        <f ca="1">IFERROR(__xludf.DUMMYFUNCTION("GOOGLETRANSLATE(C220,""en"",""hr"")"),"Linearni pojas za rastezanje")</f>
        <v>Linearni pojas za rastezanje</v>
      </c>
    </row>
    <row r="2310" spans="1:2" x14ac:dyDescent="0.2">
      <c r="A2310" s="21" t="s">
        <v>105</v>
      </c>
      <c r="B2310" s="18" t="str">
        <f ca="1">IFERROR(__xludf.DUMMYFUNCTION("GOOGLETRANSLATE(C223,""en"",""hr"")"),"Remen (5 utora)")</f>
        <v>Remen (5 utora)</v>
      </c>
    </row>
    <row r="2311" spans="1:2" x14ac:dyDescent="0.2">
      <c r="A2311" s="21" t="s">
        <v>107</v>
      </c>
      <c r="B2311" s="18" t="str">
        <f ca="1">IFERROR(__xludf.DUMMYFUNCTION("GOOGLETRANSLATE(C225,""en"",""hr"")"),"Sklop generatora 14V 140A")</f>
        <v>Sklop generatora 14V 140A</v>
      </c>
    </row>
    <row r="2312" spans="1:2" x14ac:dyDescent="0.2">
      <c r="A2312" s="21" t="s">
        <v>99</v>
      </c>
      <c r="B2312" s="18" t="str">
        <f ca="1">IFERROR(__xludf.DUMMYFUNCTION("GOOGLETRANSLATE(C215,""en"",""hr"")"),"Remenica klinastog remena (6 utora)")</f>
        <v>Remenica klinastog remena (6 utora)</v>
      </c>
    </row>
    <row r="2313" spans="1:2" x14ac:dyDescent="0.2">
      <c r="A2313" s="21" t="s">
        <v>106</v>
      </c>
      <c r="B2313" s="18" t="str">
        <f ca="1">IFERROR(__xludf.DUMMYFUNCTION("GOOGLETRANSLATE(C224,""en"",""hr"")"),"Remen (6 utora)")</f>
        <v>Remen (6 utora)</v>
      </c>
    </row>
    <row r="2314" spans="1:2" x14ac:dyDescent="0.2">
      <c r="A2314" s="21" t="s">
        <v>108</v>
      </c>
      <c r="B2314" s="18" t="str">
        <f ca="1">IFERROR(__xludf.DUMMYFUNCTION("GOOGLETRANSLATE(C226,""en"",""hr"")"),"Remenica klinastog remena (5 utora)")</f>
        <v>Remenica klinastog remena (5 utora)</v>
      </c>
    </row>
    <row r="2315" spans="1:2" x14ac:dyDescent="0.2">
      <c r="A2315" s="21" t="s">
        <v>109</v>
      </c>
      <c r="B2315" s="18" t="str">
        <f ca="1">IFERROR(__xludf.DUMMYFUNCTION("GOOGLETRANSLATE(C227,""en"",""hr"")"),"Remenica klinastog remena (6 utora)")</f>
        <v>Remenica klinastog remena (6 utora)</v>
      </c>
    </row>
    <row r="2316" spans="1:2" x14ac:dyDescent="0.2">
      <c r="A2316" s="21" t="s">
        <v>79</v>
      </c>
      <c r="B2316" s="18" t="str">
        <f ca="1">IFERROR(__xludf.DUMMYFUNCTION("GOOGLETRANSLATE(C192,""en"",""hr"")"),"Vijak za ispuštanje ulja")</f>
        <v>Vijak za ispuštanje ulja</v>
      </c>
    </row>
    <row r="2317" spans="1:2" x14ac:dyDescent="0.2">
      <c r="A2317" s="21" t="s">
        <v>81</v>
      </c>
      <c r="B2317" s="18" t="str">
        <f ca="1">IFERROR(__xludf.DUMMYFUNCTION("GOOGLETRANSLATE(C194,""en"",""hr"")"),"Filter goriva")</f>
        <v>Filter goriva</v>
      </c>
    </row>
    <row r="2318" spans="1:2" x14ac:dyDescent="0.2">
      <c r="A2318" s="21" t="s">
        <v>84</v>
      </c>
      <c r="B2318" s="18" t="str">
        <f ca="1">IFERROR(__xludf.DUMMYFUNCTION("GOOGLETRANSLATE(C197,""en"",""hr"")"),"Predfilter goriva")</f>
        <v>Predfilter goriva</v>
      </c>
    </row>
    <row r="2319" spans="1:2" x14ac:dyDescent="0.2">
      <c r="A2319" s="21" t="s">
        <v>85</v>
      </c>
      <c r="B2319" s="18" t="str">
        <f ca="1">IFERROR(__xludf.DUMMYFUNCTION("GOOGLETRANSLATE(C198,""en"",""hr"")"),"Sklop senzora")</f>
        <v>Sklop senzora</v>
      </c>
    </row>
    <row r="2320" spans="1:2" x14ac:dyDescent="0.2">
      <c r="A2320" s="21" t="s">
        <v>82</v>
      </c>
      <c r="B2320" s="18" t="str">
        <f ca="1">IFERROR(__xludf.DUMMYFUNCTION("GOOGLETRANSLATE(C195,""en"",""hr"")"),"Senzor tlaka")</f>
        <v>Senzor tlaka</v>
      </c>
    </row>
    <row r="2321" spans="1:2" x14ac:dyDescent="0.2">
      <c r="A2321" s="21" t="s">
        <v>83</v>
      </c>
      <c r="B2321" s="18" t="str">
        <f ca="1">IFERROR(__xludf.DUMMYFUNCTION("GOOGLETRANSLATE(C196,""en"",""hr"")"),"brtva")</f>
        <v>brtva</v>
      </c>
    </row>
    <row r="2322" spans="1:2" x14ac:dyDescent="0.2">
      <c r="A2322" s="21" t="s">
        <v>90</v>
      </c>
      <c r="B2322" s="18" t="str">
        <f ca="1">IFERROR(__xludf.DUMMYFUNCTION("GOOGLETRANSLATE(C205,""en"",""hr"")"),"Sklop startera")</f>
        <v>Sklop startera</v>
      </c>
    </row>
    <row r="2323" spans="1:2" x14ac:dyDescent="0.2">
      <c r="A2323" s="21" t="s">
        <v>69</v>
      </c>
      <c r="B2323" s="18" t="str">
        <f ca="1">IFERROR(__xludf.DUMMYFUNCTION("GOOGLETRANSLATE(C176,""en"",""hr"")"),"Poklopac glave brtve")</f>
        <v>Poklopac glave brtve</v>
      </c>
    </row>
    <row r="2324" spans="1:2" x14ac:dyDescent="0.2">
      <c r="A2324" s="21" t="s">
        <v>68</v>
      </c>
      <c r="B2324" s="18" t="str">
        <f ca="1">IFERROR(__xludf.DUMMYFUNCTION("GOOGLETRANSLATE(C175,""en"",""hr"")"),"Čep za punjenje")</f>
        <v>Čep za punjenje</v>
      </c>
    </row>
    <row r="2325" spans="1:2" x14ac:dyDescent="0.2">
      <c r="A2325" s="21" t="s">
        <v>89</v>
      </c>
      <c r="B2325" s="18" t="str">
        <f ca="1">IFERROR(__xludf.DUMMYFUNCTION("GOOGLETRANSLATE(C203,""en"",""hr"")"),"Pumpa za gorivo")</f>
        <v>Pumpa za gorivo</v>
      </c>
    </row>
    <row r="2326" spans="1:2" x14ac:dyDescent="0.2">
      <c r="A2326" s="21" t="s">
        <v>65</v>
      </c>
      <c r="B2326" s="18" t="str">
        <f ca="1">IFERROR(__xludf.DUMMYFUNCTION("GOOGLETRANSLATE(C172,""en"",""hr"")"),"Mlaznica")</f>
        <v>Mlaznica</v>
      </c>
    </row>
    <row r="2327" spans="1:2" x14ac:dyDescent="0.2">
      <c r="A2327" s="21" t="s">
        <v>67</v>
      </c>
      <c r="B2327" s="18" t="str">
        <f ca="1">IFERROR(__xludf.DUMMYFUNCTION("GOOGLETRANSLATE(C174,""en"",""hr"")"),"Disk za brtvljenje")</f>
        <v>Disk za brtvljenje</v>
      </c>
    </row>
    <row r="2328" spans="1:2" x14ac:dyDescent="0.2">
      <c r="A2328" s="21" t="s">
        <v>66</v>
      </c>
      <c r="B2328" s="18" t="str">
        <f ca="1">IFERROR(__xludf.DUMMYFUNCTION("GOOGLETRANSLATE(C173,""en"",""hr"")"),"brtva")</f>
        <v>brtva</v>
      </c>
    </row>
    <row r="2329" spans="1:2" x14ac:dyDescent="0.2">
      <c r="A2329" s="21" t="s">
        <v>70</v>
      </c>
      <c r="B2329" s="18" t="str">
        <f ca="1">IFERROR(__xludf.DUMMYFUNCTION("GOOGLETRANSLATE(C177,""en"",""hr"")"),"Cijev, injekcija")</f>
        <v>Cijev, injekcija</v>
      </c>
    </row>
    <row r="2330" spans="1:2" x14ac:dyDescent="0.2">
      <c r="A2330" s="21" t="s">
        <v>71</v>
      </c>
      <c r="B2330" s="18" t="str">
        <f ca="1">IFERROR(__xludf.DUMMYFUNCTION("GOOGLETRANSLATE(C178,""en"",""hr"")"),"Cijev, injekcija")</f>
        <v>Cijev, injekcija</v>
      </c>
    </row>
    <row r="2331" spans="1:2" x14ac:dyDescent="0.2">
      <c r="A2331" s="21" t="s">
        <v>54</v>
      </c>
      <c r="B2331" s="18" t="str">
        <f ca="1">IFERROR(__xludf.DUMMYFUNCTION("GOOGLETRANSLATE(C161,""en"",""hr"")"),"Pumpa rashladne tekućine")</f>
        <v>Pumpa rashladne tekućine</v>
      </c>
    </row>
    <row r="2332" spans="1:2" x14ac:dyDescent="0.2">
      <c r="A2332" s="21" t="s">
        <v>55</v>
      </c>
      <c r="B2332" s="18" t="str">
        <f ca="1">IFERROR(__xludf.DUMMYFUNCTION("GOOGLETRANSLATE(C162,""en"",""hr"")"),"brtva")</f>
        <v>brtva</v>
      </c>
    </row>
    <row r="2333" spans="1:2" x14ac:dyDescent="0.2">
      <c r="A2333" s="21" t="s">
        <v>56</v>
      </c>
      <c r="B2333" s="18" t="str">
        <f ca="1">IFERROR(__xludf.DUMMYFUNCTION("GOOGLETRANSLATE(C163,""en"",""hr"")"),"brtva")</f>
        <v>brtva</v>
      </c>
    </row>
    <row r="2334" spans="1:2" x14ac:dyDescent="0.2">
      <c r="A2334" s="21" t="s">
        <v>91</v>
      </c>
      <c r="B2334" s="18" t="str">
        <f ca="1">IFERROR(__xludf.DUMMYFUNCTION("GOOGLETRANSLATE(C206,""en"",""hr"")"),"Termostat")</f>
        <v>Termostat</v>
      </c>
    </row>
    <row r="2335" spans="1:2" x14ac:dyDescent="0.2">
      <c r="A2335" s="21" t="s">
        <v>92</v>
      </c>
      <c r="B2335" s="18" t="str">
        <f ca="1">IFERROR(__xludf.DUMMYFUNCTION("GOOGLETRANSLATE(C207,""en"",""hr"")"),"brtva O-prstena")</f>
        <v>brtva O-prstena</v>
      </c>
    </row>
    <row r="2336" spans="1:2" x14ac:dyDescent="0.2">
      <c r="A2336" s="21" t="s">
        <v>94</v>
      </c>
      <c r="B2336" s="18" t="str">
        <f ca="1">IFERROR(__xludf.DUMMYFUNCTION("GOOGLETRANSLATE(C209,""en"",""hr"")"),"Poklopac")</f>
        <v>Poklopac</v>
      </c>
    </row>
    <row r="2337" spans="1:2" x14ac:dyDescent="0.2">
      <c r="A2337" s="21" t="s">
        <v>93</v>
      </c>
      <c r="B2337" s="18" t="str">
        <f ca="1">IFERROR(__xludf.DUMMYFUNCTION("GOOGLETRANSLATE(C208,""en"",""hr"")"),"brtva")</f>
        <v>brtva</v>
      </c>
    </row>
    <row r="2338" spans="1:2" x14ac:dyDescent="0.2">
      <c r="A2338" s="21" t="s">
        <v>62</v>
      </c>
      <c r="B2338" s="18" t="str">
        <f ca="1">IFERROR(__xludf.DUMMYFUNCTION("GOOGLETRANSLATE(C169,""en"",""hr"")"),"Remenica klinastog remena")</f>
        <v>Remenica klinastog remena</v>
      </c>
    </row>
    <row r="2339" spans="1:2" x14ac:dyDescent="0.2">
      <c r="A2339" s="21" t="s">
        <v>60</v>
      </c>
      <c r="B2339" s="18" t="str">
        <f ca="1">IFERROR(__xludf.DUMMYFUNCTION("GOOGLETRANSLATE(C167,""en"",""hr"")"),"Kolut")</f>
        <v>Kolut</v>
      </c>
    </row>
    <row r="2340" spans="1:2" x14ac:dyDescent="0.2">
      <c r="A2340" s="21" t="s">
        <v>61</v>
      </c>
      <c r="B2340" s="18" t="str">
        <f ca="1">IFERROR(__xludf.DUMMYFUNCTION("GOOGLETRANSLATE(C168,""en"",""hr"")"),"Remenica klinastog remena")</f>
        <v>Remenica klinastog remena</v>
      </c>
    </row>
    <row r="2341" spans="1:2" x14ac:dyDescent="0.2">
      <c r="A2341" s="21" t="s">
        <v>64</v>
      </c>
      <c r="B2341" s="18" t="str">
        <f ca="1">IFERROR(__xludf.DUMMYFUNCTION("GOOGLETRANSLATE(C171,""en"",""hr"")"),"Klinasti remen")</f>
        <v>Klinasti remen</v>
      </c>
    </row>
    <row r="2342" spans="1:2" x14ac:dyDescent="0.2">
      <c r="A2342" s="21" t="s">
        <v>63</v>
      </c>
      <c r="B2342" s="18" t="str">
        <f ca="1">IFERROR(__xludf.DUMMYFUNCTION("GOOGLETRANSLATE(C170,""en"",""hr"")"),"Remenica klinastog remena")</f>
        <v>Remenica klinastog remena</v>
      </c>
    </row>
    <row r="2343" spans="1:2" x14ac:dyDescent="0.2">
      <c r="A2343" s="21" t="s">
        <v>57</v>
      </c>
      <c r="B2343" s="18" t="str">
        <f ca="1">IFERROR(__xludf.DUMMYFUNCTION("GOOGLETRANSLATE(C164,""en"",""hr"")"),"Kompresor klime")</f>
        <v>Kompresor klime</v>
      </c>
    </row>
    <row r="2344" spans="1:2" x14ac:dyDescent="0.2">
      <c r="A2344" s="21" t="s">
        <v>58</v>
      </c>
      <c r="B2344" s="18" t="str">
        <f ca="1">IFERROR(__xludf.DUMMYFUNCTION("GOOGLETRANSLATE(C165,""en"",""hr"")"),"Uski klinasti remen")</f>
        <v>Uski klinasti remen</v>
      </c>
    </row>
    <row r="2345" spans="1:2" x14ac:dyDescent="0.2">
      <c r="A2345" s="21" t="s">
        <v>59</v>
      </c>
      <c r="B2345" s="18" t="str">
        <f ca="1">IFERROR(__xludf.DUMMYFUNCTION("GOOGLETRANSLATE(C166,""en"",""hr"")"),"Nosiljka za pojas")</f>
        <v>Nosiljka za pojas</v>
      </c>
    </row>
    <row r="2346" spans="1:2" x14ac:dyDescent="0.2">
      <c r="A2346" s="21" t="s">
        <v>1656</v>
      </c>
      <c r="B2346" s="18" t="str">
        <f ca="1">IFERROR(__xludf.DUMMYFUNCTION("GOOGLETRANSLATE(C5636,""en"",""hr"")"),"Nosač generatora")</f>
        <v>Nosač generatora</v>
      </c>
    </row>
    <row r="2347" spans="1:2" x14ac:dyDescent="0.2">
      <c r="A2347" s="21" t="s">
        <v>450</v>
      </c>
      <c r="B2347" s="18" t="str">
        <f ca="1">IFERROR(__xludf.DUMMYFUNCTION("GOOGLETRANSLATE(C1081,""en"",""hr"")"),"brtva")</f>
        <v>brtva</v>
      </c>
    </row>
    <row r="2348" spans="1:2" x14ac:dyDescent="0.2">
      <c r="A2348" s="21" t="s">
        <v>1657</v>
      </c>
      <c r="B2348" s="18" t="str">
        <f ca="1">IFERROR(__xludf.DUMMYFUNCTION("GOOGLETRANSLATE(C5637,""en"",""hr"")"),"Okov")</f>
        <v>Okov</v>
      </c>
    </row>
    <row r="2349" spans="1:2" x14ac:dyDescent="0.2">
      <c r="A2349" s="21" t="s">
        <v>1658</v>
      </c>
      <c r="B2349" s="18" t="str">
        <f ca="1">IFERROR(__xludf.DUMMYFUNCTION("GOOGLETRANSLATE(C5638,""en"",""hr"")"),"Okov")</f>
        <v>Okov</v>
      </c>
    </row>
    <row r="2350" spans="1:2" x14ac:dyDescent="0.2">
      <c r="A2350" s="21" t="s">
        <v>456</v>
      </c>
      <c r="B2350" s="18" t="str">
        <f ca="1">IFERROR(__xludf.DUMMYFUNCTION("GOOGLETRANSLATE(C1109,""en"",""hr"")"),"Stezaljka za cijevi")</f>
        <v>Stezaljka za cijevi</v>
      </c>
    </row>
    <row r="2351" spans="1:2" x14ac:dyDescent="0.2">
      <c r="A2351" s="21" t="s">
        <v>457</v>
      </c>
      <c r="B2351" s="18" t="str">
        <f ca="1">IFERROR(__xludf.DUMMYFUNCTION("GOOGLETRANSLATE(C1110,""en"",""hr"")"),"Kompenzator")</f>
        <v>Kompenzator</v>
      </c>
    </row>
    <row r="2352" spans="1:2" x14ac:dyDescent="0.2">
      <c r="A2352" s="21" t="s">
        <v>459</v>
      </c>
      <c r="B2352" s="18" t="str">
        <f ca="1">IFERROR(__xludf.DUMMYFUNCTION("GOOGLETRANSLATE(C1112,""en"",""hr"")"),"Stezaljka za cijevi")</f>
        <v>Stezaljka za cijevi</v>
      </c>
    </row>
    <row r="2353" spans="1:2" x14ac:dyDescent="0.2">
      <c r="A2353" s="21" t="s">
        <v>460</v>
      </c>
      <c r="B2353" s="18" t="str">
        <f ca="1">IFERROR(__xludf.DUMMYFUNCTION("GOOGLETRANSLATE(C1113,""en"",""hr"")"),"Stezaljka za cijevi")</f>
        <v>Stezaljka za cijevi</v>
      </c>
    </row>
    <row r="2354" spans="1:2" x14ac:dyDescent="0.2">
      <c r="A2354" s="21" t="s">
        <v>458</v>
      </c>
      <c r="B2354" s="18" t="str">
        <f ca="1">IFERROR(__xludf.DUMMYFUNCTION("GOOGLETRANSLATE(C1111,""en"",""hr"")"),"brtva")</f>
        <v>brtva</v>
      </c>
    </row>
    <row r="2355" spans="1:2" x14ac:dyDescent="0.2">
      <c r="A2355" s="21" t="s">
        <v>461</v>
      </c>
      <c r="B2355" s="18" t="str">
        <f ca="1">IFERROR(__xludf.DUMMYFUNCTION("GOOGLETRANSLATE(C1114,""en"",""hr"")"),"Stezaljka za cijevi")</f>
        <v>Stezaljka za cijevi</v>
      </c>
    </row>
    <row r="2356" spans="1:2" x14ac:dyDescent="0.2">
      <c r="A2356" s="21" t="s">
        <v>462</v>
      </c>
      <c r="B2356" s="18" t="str">
        <f ca="1">IFERROR(__xludf.DUMMYFUNCTION("GOOGLETRANSLATE(C1115,""en"",""hr"")"),"Vijak")</f>
        <v>Vijak</v>
      </c>
    </row>
    <row r="2357" spans="1:2" x14ac:dyDescent="0.2">
      <c r="A2357" s="21" t="s">
        <v>463</v>
      </c>
      <c r="B2357" s="18" t="str">
        <f ca="1">IFERROR(__xludf.DUMMYFUNCTION("GOOGLETRANSLATE(C1116,""en"",""hr"")"),"Vijak")</f>
        <v>Vijak</v>
      </c>
    </row>
    <row r="2358" spans="1:2" x14ac:dyDescent="0.2">
      <c r="A2358" s="21" t="s">
        <v>464</v>
      </c>
      <c r="B2358" s="18" t="str">
        <f ca="1">IFERROR(__xludf.DUMMYFUNCTION("GOOGLETRANSLATE(C1117,""en"",""hr"")"),"Konzola")</f>
        <v>Konzola</v>
      </c>
    </row>
    <row r="2359" spans="1:2" x14ac:dyDescent="0.2">
      <c r="A2359" s="21" t="s">
        <v>465</v>
      </c>
      <c r="B2359" s="18" t="str">
        <f ca="1">IFERROR(__xludf.DUMMYFUNCTION("GOOGLETRANSLATE(C1118,""en"",""hr"")"),"Vijak")</f>
        <v>Vijak</v>
      </c>
    </row>
    <row r="2360" spans="1:2" x14ac:dyDescent="0.2">
      <c r="A2360" s="21" t="s">
        <v>466</v>
      </c>
      <c r="B2360" s="18" t="str">
        <f ca="1">IFERROR(__xludf.DUMMYFUNCTION("GOOGLETRANSLATE(C1119,""en"",""hr"")"),"Potporni prsten")</f>
        <v>Potporni prsten</v>
      </c>
    </row>
    <row r="2361" spans="1:2" x14ac:dyDescent="0.2">
      <c r="A2361" s="21" t="s">
        <v>471</v>
      </c>
      <c r="B2361" s="18" t="str">
        <f ca="1">IFERROR(__xludf.DUMMYFUNCTION("GOOGLETRANSLATE(C1124,""en"",""hr"")"),"Kućište pužnog mjenjača")</f>
        <v>Kućište pužnog mjenjača</v>
      </c>
    </row>
    <row r="2362" spans="1:2" x14ac:dyDescent="0.2">
      <c r="A2362" s="21" t="s">
        <v>468</v>
      </c>
      <c r="B2362" s="18" t="str">
        <f ca="1">IFERROR(__xludf.DUMMYFUNCTION("GOOGLETRANSLATE(C1121,""en"",""hr"")"),"Stezaljka za cijevi")</f>
        <v>Stezaljka za cijevi</v>
      </c>
    </row>
    <row r="2363" spans="1:2" x14ac:dyDescent="0.2">
      <c r="A2363" s="21" t="s">
        <v>470</v>
      </c>
      <c r="B2363" s="18" t="str">
        <f ca="1">IFERROR(__xludf.DUMMYFUNCTION("GOOGLETRANSLATE(C1123,""en"",""hr"")"),"Filter čestica")</f>
        <v>Filter čestica</v>
      </c>
    </row>
    <row r="2364" spans="1:2" x14ac:dyDescent="0.2">
      <c r="A2364" s="21" t="s">
        <v>469</v>
      </c>
      <c r="B2364" s="18" t="str">
        <f ca="1">IFERROR(__xludf.DUMMYFUNCTION("GOOGLETRANSLATE(C1122,""en"",""hr"")"),"brtva")</f>
        <v>brtva</v>
      </c>
    </row>
    <row r="2365" spans="1:2" x14ac:dyDescent="0.2">
      <c r="A2365" s="21" t="s">
        <v>467</v>
      </c>
      <c r="B2365" s="18" t="str">
        <f ca="1">IFERROR(__xludf.DUMMYFUNCTION("GOOGLETRANSLATE(C1120,""en"",""hr"")"),"Kućište pužnog mjenjača")</f>
        <v>Kućište pužnog mjenjača</v>
      </c>
    </row>
    <row r="2366" spans="1:2" x14ac:dyDescent="0.2">
      <c r="A2366" s="21" t="s">
        <v>375</v>
      </c>
      <c r="B2366" s="18" t="str">
        <f ca="1">IFERROR(__xludf.DUMMYFUNCTION("GOOGLETRANSLATE(C851,""en"",""hr"")"),"Okretna matica")</f>
        <v>Okretna matica</v>
      </c>
    </row>
    <row r="2367" spans="1:2" x14ac:dyDescent="0.2">
      <c r="A2367" s="21" t="s">
        <v>1743</v>
      </c>
      <c r="B2367" s="18" t="str">
        <f ca="1">IFERROR(__xludf.DUMMYFUNCTION("GOOGLETRANSLATE(C6089,""en"",""hr"")"),"Okretna matica")</f>
        <v>Okretna matica</v>
      </c>
    </row>
    <row r="2368" spans="1:2" x14ac:dyDescent="0.2">
      <c r="A2368" s="21" t="s">
        <v>374</v>
      </c>
      <c r="B2368" s="18" t="str">
        <f ca="1">IFERROR(__xludf.DUMMYFUNCTION("GOOGLETRANSLATE(C850,""en"",""hr"")"),"Progresivni prsten")</f>
        <v>Progresivni prsten</v>
      </c>
    </row>
    <row r="2369" spans="1:2" x14ac:dyDescent="0.2">
      <c r="A2369" s="21" t="s">
        <v>242</v>
      </c>
      <c r="B2369" s="18" t="str">
        <f ca="1">IFERROR(__xludf.DUMMYFUNCTION("GOOGLETRANSLATE(C507,""en"",""hr"")"),"Veza")</f>
        <v>Veza</v>
      </c>
    </row>
    <row r="2370" spans="1:2" x14ac:dyDescent="0.2">
      <c r="A2370" s="21" t="s">
        <v>1694</v>
      </c>
      <c r="B2370" s="18" t="str">
        <f ca="1">IFERROR(__xludf.DUMMYFUNCTION("GOOGLETRANSLATE(C5874,""en"",""hr"")"),"Veza")</f>
        <v>Veza</v>
      </c>
    </row>
    <row r="2371" spans="1:2" x14ac:dyDescent="0.2">
      <c r="A2371" s="21" t="s">
        <v>409</v>
      </c>
      <c r="B2371" s="18" t="str">
        <f ca="1">IFERROR(__xludf.DUMMYFUNCTION("GOOGLETRANSLATE(C957,""en"",""hr"")"),"Veza")</f>
        <v>Veza</v>
      </c>
    </row>
    <row r="2372" spans="1:2" x14ac:dyDescent="0.2">
      <c r="A2372" s="21" t="s">
        <v>479</v>
      </c>
      <c r="B2372" s="18" t="str">
        <f ca="1">IFERROR(__xludf.DUMMYFUNCTION("GOOGLETRANSLATE(C1153,""en"",""hr"")"),"Veza")</f>
        <v>Veza</v>
      </c>
    </row>
    <row r="2373" spans="1:2" x14ac:dyDescent="0.2">
      <c r="A2373" s="21" t="s">
        <v>250</v>
      </c>
      <c r="B2373" s="18" t="str">
        <f ca="1">IFERROR(__xludf.DUMMYFUNCTION("GOOGLETRANSLATE(C530,""en"",""hr"")"),"Ravni uvrtni vijčani spoj")</f>
        <v>Ravni uvrtni vijčani spoj</v>
      </c>
    </row>
    <row r="2374" spans="1:2" x14ac:dyDescent="0.2">
      <c r="A2374" s="21" t="s">
        <v>256</v>
      </c>
      <c r="B2374" s="18" t="str">
        <f ca="1">IFERROR(__xludf.DUMMYFUNCTION("GOOGLETRANSLATE(C555,""en"",""hr"")"),"Ravni uvrtni vijčani spoj")</f>
        <v>Ravni uvrtni vijčani spoj</v>
      </c>
    </row>
    <row r="2375" spans="1:2" x14ac:dyDescent="0.2">
      <c r="A2375" s="21" t="s">
        <v>1708</v>
      </c>
      <c r="B2375" s="18" t="str">
        <f ca="1">IFERROR(__xludf.DUMMYFUNCTION("GOOGLETRANSLATE(C5932,""en"",""hr"")"),"Ravni uvrtni vijčani spoj")</f>
        <v>Ravni uvrtni vijčani spoj</v>
      </c>
    </row>
    <row r="2376" spans="1:2" x14ac:dyDescent="0.2">
      <c r="A2376" s="21" t="s">
        <v>988</v>
      </c>
      <c r="B2376" s="18" t="str">
        <f ca="1">IFERROR(__xludf.DUMMYFUNCTION("GOOGLETRANSLATE(C3165,""en"",""hr"")"),"Ravni uvrtni vijčani spoj")</f>
        <v>Ravni uvrtni vijčani spoj</v>
      </c>
    </row>
    <row r="2377" spans="1:2" x14ac:dyDescent="0.2">
      <c r="A2377" s="21" t="s">
        <v>1044</v>
      </c>
      <c r="B2377" s="18" t="str">
        <f ca="1">IFERROR(__xludf.DUMMYFUNCTION("GOOGLETRANSLATE(C3424,""en"",""hr"")"),"Veza")</f>
        <v>Veza</v>
      </c>
    </row>
    <row r="2378" spans="1:2" x14ac:dyDescent="0.2">
      <c r="A2378" s="21" t="s">
        <v>1590</v>
      </c>
      <c r="B2378" s="18" t="str">
        <f ca="1">IFERROR(__xludf.DUMMYFUNCTION("GOOGLETRANSLATE(C5401,""en"",""hr"")"),"Veza")</f>
        <v>Veza</v>
      </c>
    </row>
    <row r="2379" spans="1:2" x14ac:dyDescent="0.2">
      <c r="A2379" s="21" t="s">
        <v>1709</v>
      </c>
      <c r="B2379" s="18" t="str">
        <f ca="1">IFERROR(__xludf.DUMMYFUNCTION("GOOGLETRANSLATE(C5933,""en"",""hr"")"),"Veza")</f>
        <v>Veza</v>
      </c>
    </row>
    <row r="2380" spans="1:2" x14ac:dyDescent="0.2">
      <c r="A2380" s="21" t="s">
        <v>251</v>
      </c>
      <c r="B2380" s="18" t="str">
        <f ca="1">IFERROR(__xludf.DUMMYFUNCTION("GOOGLETRANSLATE(C532,""en"",""hr"")"),"Veza")</f>
        <v>Veza</v>
      </c>
    </row>
    <row r="2381" spans="1:2" x14ac:dyDescent="0.2">
      <c r="A2381" s="21" t="s">
        <v>1699</v>
      </c>
      <c r="B2381" s="18" t="str">
        <f ca="1">IFERROR(__xludf.DUMMYFUNCTION("GOOGLETRANSLATE(C5894,""en"",""hr"")"),"Veza")</f>
        <v>Veza</v>
      </c>
    </row>
    <row r="2382" spans="1:2" x14ac:dyDescent="0.2">
      <c r="A2382" s="21" t="s">
        <v>685</v>
      </c>
      <c r="B2382" s="18" t="str">
        <f ca="1">IFERROR(__xludf.DUMMYFUNCTION("GOOGLETRANSLATE(C2163,""en"",""hr"")"),"Ravni uvrtni vijčani spoj")</f>
        <v>Ravni uvrtni vijčani spoj</v>
      </c>
    </row>
    <row r="2383" spans="1:2" x14ac:dyDescent="0.2">
      <c r="A2383" s="21" t="s">
        <v>1693</v>
      </c>
      <c r="B2383" s="18" t="str">
        <f ca="1">IFERROR(__xludf.DUMMYFUNCTION("GOOGLETRANSLATE(C5873,""en"",""hr"")"),"Veza")</f>
        <v>Veza</v>
      </c>
    </row>
    <row r="2384" spans="1:2" x14ac:dyDescent="0.2">
      <c r="A2384" s="21" t="s">
        <v>313</v>
      </c>
      <c r="B2384" s="18" t="str">
        <f ca="1">IFERROR(__xludf.DUMMYFUNCTION("GOOGLETRANSLATE(C693,""en"",""hr"")"),"Veza")</f>
        <v>Veza</v>
      </c>
    </row>
    <row r="2385" spans="1:2" x14ac:dyDescent="0.2">
      <c r="A2385" s="21" t="s">
        <v>1380</v>
      </c>
      <c r="B2385" s="18" t="str">
        <f ca="1">IFERROR(__xludf.DUMMYFUNCTION("GOOGLETRANSLATE(C4372,""en"",""hr"")"),"Veza")</f>
        <v>Veza</v>
      </c>
    </row>
    <row r="2386" spans="1:2" x14ac:dyDescent="0.2">
      <c r="A2386" s="21" t="s">
        <v>1379</v>
      </c>
      <c r="B2386" s="18" t="str">
        <f ca="1">IFERROR(__xludf.DUMMYFUNCTION("GOOGLETRANSLATE(C4371,""en"",""hr"")"),"Veza")</f>
        <v>Veza</v>
      </c>
    </row>
    <row r="2387" spans="1:2" x14ac:dyDescent="0.2">
      <c r="A2387" s="21" t="s">
        <v>831</v>
      </c>
      <c r="B2387" s="18" t="str">
        <f ca="1">IFERROR(__xludf.DUMMYFUNCTION("GOOGLETRANSLATE(C2489,""en"",""hr"")"),"Veza")</f>
        <v>Veza</v>
      </c>
    </row>
    <row r="2388" spans="1:2" x14ac:dyDescent="0.2">
      <c r="A2388" s="21" t="s">
        <v>316</v>
      </c>
      <c r="B2388" s="18" t="str">
        <f ca="1">IFERROR(__xludf.DUMMYFUNCTION("GOOGLETRANSLATE(C709,""en"",""hr"")"),"Veza")</f>
        <v>Veza</v>
      </c>
    </row>
    <row r="2389" spans="1:2" x14ac:dyDescent="0.2">
      <c r="A2389" s="21" t="s">
        <v>705</v>
      </c>
      <c r="B2389" s="18" t="str">
        <f ca="1">IFERROR(__xludf.DUMMYFUNCTION("GOOGLETRANSLATE(C2227,""en"",""hr"")"),"Montaža pregrade")</f>
        <v>Montaža pregrade</v>
      </c>
    </row>
    <row r="2390" spans="1:2" x14ac:dyDescent="0.2">
      <c r="A2390" s="21" t="s">
        <v>1793</v>
      </c>
      <c r="B2390" s="18" t="str">
        <f ca="1">IFERROR(__xludf.DUMMYFUNCTION("GOOGLETRANSLATE(C6230,""en"",""hr"")"),"Montaža pregrade")</f>
        <v>Montaža pregrade</v>
      </c>
    </row>
    <row r="2391" spans="1:2" x14ac:dyDescent="0.2">
      <c r="A2391" s="21" t="s">
        <v>239</v>
      </c>
      <c r="B2391" s="18" t="str">
        <f ca="1">IFERROR(__xludf.DUMMYFUNCTION("GOOGLETRANSLATE(C504,""en"",""hr"")"),"Veza")</f>
        <v>Veza</v>
      </c>
    </row>
    <row r="2392" spans="1:2" x14ac:dyDescent="0.2">
      <c r="A2392" s="21" t="s">
        <v>292</v>
      </c>
      <c r="B2392" s="18" t="str">
        <f ca="1">IFERROR(__xludf.DUMMYFUNCTION("GOOGLETRANSLATE(C645,""en"",""hr"")"),"Veza")</f>
        <v>Veza</v>
      </c>
    </row>
    <row r="2393" spans="1:2" x14ac:dyDescent="0.2">
      <c r="A2393" s="21" t="s">
        <v>1688</v>
      </c>
      <c r="B2393" s="18" t="str">
        <f ca="1">IFERROR(__xludf.DUMMYFUNCTION("GOOGLETRANSLATE(C5849,""en"",""hr"")"),"Veza")</f>
        <v>Veza</v>
      </c>
    </row>
    <row r="2394" spans="1:2" x14ac:dyDescent="0.2">
      <c r="A2394" s="21" t="s">
        <v>1405</v>
      </c>
      <c r="B2394" s="18" t="str">
        <f ca="1">IFERROR(__xludf.DUMMYFUNCTION("GOOGLETRANSLATE(C4559,""en"",""hr"")"),"Priključak")</f>
        <v>Priključak</v>
      </c>
    </row>
    <row r="2395" spans="1:2" x14ac:dyDescent="0.2">
      <c r="A2395" s="21" t="s">
        <v>698</v>
      </c>
      <c r="B2395" s="18" t="str">
        <f ca="1">IFERROR(__xludf.DUMMYFUNCTION("GOOGLETRANSLATE(C2206,""en"",""hr"")"),"Priključak")</f>
        <v>Priključak</v>
      </c>
    </row>
    <row r="2396" spans="1:2" x14ac:dyDescent="0.2">
      <c r="A2396" s="21" t="s">
        <v>768</v>
      </c>
      <c r="B2396" s="18" t="str">
        <f ca="1">IFERROR(__xludf.DUMMYFUNCTION("GOOGLETRANSLATE(C2387,""en"",""hr"")"),"Koljenasti vijčani spoj")</f>
        <v>Koljenasti vijčani spoj</v>
      </c>
    </row>
    <row r="2397" spans="1:2" x14ac:dyDescent="0.2">
      <c r="A2397" s="21" t="s">
        <v>1735</v>
      </c>
      <c r="B2397" s="18" t="str">
        <f ca="1">IFERROR(__xludf.DUMMYFUNCTION("GOOGLETRANSLATE(C6032,""en"",""hr"")"),"T-utičnica")</f>
        <v>T-utičnica</v>
      </c>
    </row>
    <row r="2398" spans="1:2" x14ac:dyDescent="0.2">
      <c r="A2398" s="21" t="s">
        <v>704</v>
      </c>
      <c r="B2398" s="18" t="str">
        <f ca="1">IFERROR(__xludf.DUMMYFUNCTION("GOOGLETRANSLATE(C2226,""en"",""hr"")"),"Montaža pregrade")</f>
        <v>Montaža pregrade</v>
      </c>
    </row>
    <row r="2399" spans="1:2" x14ac:dyDescent="0.2">
      <c r="A2399" s="21" t="s">
        <v>764</v>
      </c>
      <c r="B2399" s="18" t="str">
        <f ca="1">IFERROR(__xludf.DUMMYFUNCTION("GOOGLETRANSLATE(C2380,""en"",""hr"")"),"Koljenasti vijčani spoj")</f>
        <v>Koljenasti vijčani spoj</v>
      </c>
    </row>
    <row r="2400" spans="1:2" x14ac:dyDescent="0.2">
      <c r="A2400" s="21" t="s">
        <v>369</v>
      </c>
      <c r="B2400" s="18" t="str">
        <f ca="1">IFERROR(__xludf.DUMMYFUNCTION("GOOGLETRANSLATE(C837,""en"",""hr"")"),"Koljenasti vijčani spoj")</f>
        <v>Koljenasti vijčani spoj</v>
      </c>
    </row>
    <row r="2401" spans="1:2" x14ac:dyDescent="0.2">
      <c r="A2401" s="21" t="s">
        <v>642</v>
      </c>
      <c r="B2401" s="18" t="str">
        <f ca="1">IFERROR(__xludf.DUMMYFUNCTION("GOOGLETRANSLATE(C1986,""en"",""hr"")"),"Rotirajuća spojka")</f>
        <v>Rotirajuća spojka</v>
      </c>
    </row>
    <row r="2402" spans="1:2" x14ac:dyDescent="0.2">
      <c r="A2402" s="21" t="s">
        <v>306</v>
      </c>
      <c r="B2402" s="18" t="str">
        <f ca="1">IFERROR(__xludf.DUMMYFUNCTION("GOOGLETRANSLATE(C679,""en"",""hr"")"),"Rotirajuća spojka")</f>
        <v>Rotirajuća spojka</v>
      </c>
    </row>
    <row r="2403" spans="1:2" x14ac:dyDescent="0.2">
      <c r="A2403" s="21" t="s">
        <v>1253</v>
      </c>
      <c r="B2403" s="18" t="str">
        <f ca="1">IFERROR(__xludf.DUMMYFUNCTION("GOOGLETRANSLATE(C3962,""en"",""hr"")"),"Rotirajuća spojka")</f>
        <v>Rotirajuća spojka</v>
      </c>
    </row>
    <row r="2404" spans="1:2" x14ac:dyDescent="0.2">
      <c r="A2404" s="21" t="s">
        <v>1263</v>
      </c>
      <c r="B2404" s="18" t="str">
        <f ca="1">IFERROR(__xludf.DUMMYFUNCTION("GOOGLETRANSLATE(C3989,""en"",""hr"")"),"Rotirajuća spojka")</f>
        <v>Rotirajuća spojka</v>
      </c>
    </row>
    <row r="2405" spans="1:2" x14ac:dyDescent="0.2">
      <c r="A2405" s="21" t="s">
        <v>2025</v>
      </c>
      <c r="B2405" s="18" t="str">
        <f ca="1">IFERROR(__xludf.DUMMYFUNCTION("GOOGLETRANSLATE(C6863,""en"",""hr"")"),"Rotirajuća spojka")</f>
        <v>Rotirajuća spojka</v>
      </c>
    </row>
    <row r="2406" spans="1:2" x14ac:dyDescent="0.2">
      <c r="A2406" s="21" t="s">
        <v>247</v>
      </c>
      <c r="B2406" s="18" t="str">
        <f ca="1">IFERROR(__xludf.DUMMYFUNCTION("GOOGLETRANSLATE(C517,""en"",""hr"")"),"Priključak W-cijevi")</f>
        <v>Priključak W-cijevi</v>
      </c>
    </row>
    <row r="2407" spans="1:2" x14ac:dyDescent="0.2">
      <c r="A2407" s="21" t="s">
        <v>1231</v>
      </c>
      <c r="B2407" s="18" t="str">
        <f ca="1">IFERROR(__xludf.DUMMYFUNCTION("GOOGLETRANSLATE(C3919,""en"",""hr"")"),"Priključak W-cijevi")</f>
        <v>Priključak W-cijevi</v>
      </c>
    </row>
    <row r="2408" spans="1:2" x14ac:dyDescent="0.2">
      <c r="A2408" s="21" t="s">
        <v>1340</v>
      </c>
      <c r="B2408" s="18" t="str">
        <f ca="1">IFERROR(__xludf.DUMMYFUNCTION("GOOGLETRANSLATE(C4212,""en"",""hr"")"),"Navojni spoj")</f>
        <v>Navojni spoj</v>
      </c>
    </row>
    <row r="2409" spans="1:2" x14ac:dyDescent="0.2">
      <c r="A2409" s="21" t="s">
        <v>829</v>
      </c>
      <c r="B2409" s="18" t="str">
        <f ca="1">IFERROR(__xludf.DUMMYFUNCTION("GOOGLETRANSLATE(C2487,""en"",""hr"")"),"Priključak")</f>
        <v>Priključak</v>
      </c>
    </row>
    <row r="2410" spans="1:2" x14ac:dyDescent="0.2">
      <c r="A2410" s="21" t="s">
        <v>1705</v>
      </c>
      <c r="B2410" s="18" t="str">
        <f ca="1">IFERROR(__xludf.DUMMYFUNCTION("GOOGLETRANSLATE(C5927,""en"",""hr"")"),"T-utičnica")</f>
        <v>T-utičnica</v>
      </c>
    </row>
    <row r="2411" spans="1:2" x14ac:dyDescent="0.2">
      <c r="A2411" s="21" t="s">
        <v>753</v>
      </c>
      <c r="B2411" s="18" t="str">
        <f ca="1">IFERROR(__xludf.DUMMYFUNCTION("GOOGLETRANSLATE(C2360,""en"",""hr"")"),"T-utičnica")</f>
        <v>T-utičnica</v>
      </c>
    </row>
    <row r="2412" spans="1:2" x14ac:dyDescent="0.2">
      <c r="A2412" s="21" t="s">
        <v>689</v>
      </c>
      <c r="B2412" s="18" t="str">
        <f ca="1">IFERROR(__xludf.DUMMYFUNCTION("GOOGLETRANSLATE(C2170,""en"",""hr"")"),"Koljenasti vijčani spoj")</f>
        <v>Koljenasti vijčani spoj</v>
      </c>
    </row>
    <row r="2413" spans="1:2" x14ac:dyDescent="0.2">
      <c r="A2413" s="21" t="s">
        <v>480</v>
      </c>
      <c r="B2413" s="18" t="str">
        <f ca="1">IFERROR(__xludf.DUMMYFUNCTION("GOOGLETRANSLATE(C1154,""en"",""hr"")"),"Kutni priključak za spajanje")</f>
        <v>Kutni priključak za spajanje</v>
      </c>
    </row>
    <row r="2414" spans="1:2" x14ac:dyDescent="0.2">
      <c r="A2414" s="21" t="s">
        <v>405</v>
      </c>
      <c r="B2414" s="18" t="str">
        <f ca="1">IFERROR(__xludf.DUMMYFUNCTION("GOOGLETRANSLATE(C949,""en"",""hr"")"),"Koljenasti vijčani spoj")</f>
        <v>Koljenasti vijčani spoj</v>
      </c>
    </row>
    <row r="2415" spans="1:2" x14ac:dyDescent="0.2">
      <c r="A2415" s="21" t="s">
        <v>1668</v>
      </c>
      <c r="B2415" s="18" t="str">
        <f ca="1">IFERROR(__xludf.DUMMYFUNCTION("GOOGLETRANSLATE(C5762,""en"",""hr"")"),"Koljenasti vijčani spoj")</f>
        <v>Koljenasti vijčani spoj</v>
      </c>
    </row>
    <row r="2416" spans="1:2" x14ac:dyDescent="0.2">
      <c r="A2416" s="21" t="s">
        <v>376</v>
      </c>
      <c r="B2416" s="18" t="str">
        <f ca="1">IFERROR(__xludf.DUMMYFUNCTION("GOOGLETRANSLATE(C852,""en"",""hr"")"),"Koljeno prirubnice")</f>
        <v>Koljeno prirubnice</v>
      </c>
    </row>
    <row r="2417" spans="1:2" x14ac:dyDescent="0.2">
      <c r="A2417" s="21" t="s">
        <v>1717</v>
      </c>
      <c r="B2417" s="18" t="str">
        <f ca="1">IFERROR(__xludf.DUMMYFUNCTION("GOOGLETRANSLATE(C5959,""en"",""hr"")"),"Koljenasti vijčani spoj")</f>
        <v>Koljenasti vijčani spoj</v>
      </c>
    </row>
    <row r="2418" spans="1:2" x14ac:dyDescent="0.2">
      <c r="A2418" s="21" t="s">
        <v>1681</v>
      </c>
      <c r="B2418" s="18" t="str">
        <f ca="1">IFERROR(__xludf.DUMMYFUNCTION("GOOGLETRANSLATE(C5810,""en"",""hr"")"),"Srednja mlaznica")</f>
        <v>Srednja mlaznica</v>
      </c>
    </row>
    <row r="2419" spans="1:2" x14ac:dyDescent="0.2">
      <c r="A2419" s="21" t="s">
        <v>697</v>
      </c>
      <c r="B2419" s="18" t="str">
        <f ca="1">IFERROR(__xludf.DUMMYFUNCTION("GOOGLETRANSLATE(C2205,""en"",""hr"")"),"Bradavica")</f>
        <v>Bradavica</v>
      </c>
    </row>
    <row r="2420" spans="1:2" x14ac:dyDescent="0.2">
      <c r="A2420" s="21" t="s">
        <v>1702</v>
      </c>
      <c r="B2420" s="18" t="str">
        <f ca="1">IFERROR(__xludf.DUMMYFUNCTION("GOOGLETRANSLATE(C5909,""en"",""hr"")"),"Veza")</f>
        <v>Veza</v>
      </c>
    </row>
    <row r="2421" spans="1:2" x14ac:dyDescent="0.2">
      <c r="A2421" s="21" t="s">
        <v>1695</v>
      </c>
      <c r="B2421" s="18" t="str">
        <f ca="1">IFERROR(__xludf.DUMMYFUNCTION("GOOGLETRANSLATE(C5875,""en"",""hr"")"),"Veza")</f>
        <v>Veza</v>
      </c>
    </row>
    <row r="2422" spans="1:2" x14ac:dyDescent="0.2">
      <c r="A2422" s="21" t="s">
        <v>1687</v>
      </c>
      <c r="B2422" s="18" t="str">
        <f ca="1">IFERROR(__xludf.DUMMYFUNCTION("GOOGLETRANSLATE(C5844,""en"",""hr"")"),"Priključak")</f>
        <v>Priključak</v>
      </c>
    </row>
    <row r="2423" spans="1:2" x14ac:dyDescent="0.2">
      <c r="A2423" s="21" t="s">
        <v>1737</v>
      </c>
      <c r="B2423" s="18" t="str">
        <f ca="1">IFERROR(__xludf.DUMMYFUNCTION("GOOGLETRANSLATE(C6037,""en"",""hr"")"),"Veza")</f>
        <v>Veza</v>
      </c>
    </row>
    <row r="2424" spans="1:2" x14ac:dyDescent="0.2">
      <c r="A2424" s="21" t="s">
        <v>565</v>
      </c>
      <c r="B2424" s="18" t="str">
        <f ca="1">IFERROR(__xludf.DUMMYFUNCTION("GOOGLETRANSLATE(C1581,""en"",""hr"")"),"Okov-t")</f>
        <v>Okov-t</v>
      </c>
    </row>
    <row r="2425" spans="1:2" x14ac:dyDescent="0.2">
      <c r="A2425" s="21" t="s">
        <v>1240</v>
      </c>
      <c r="B2425" s="18" t="str">
        <f ca="1">IFERROR(__xludf.DUMMYFUNCTION("GOOGLETRANSLATE(C3934,""en"",""hr"")"),"Priključak za zaključavanje")</f>
        <v>Priključak za zaključavanje</v>
      </c>
    </row>
    <row r="2426" spans="1:2" x14ac:dyDescent="0.2">
      <c r="A2426" s="21" t="s">
        <v>1742</v>
      </c>
      <c r="B2426" s="18" t="str">
        <f ca="1">IFERROR(__xludf.DUMMYFUNCTION("GOOGLETRANSLATE(C6088,""en"",""hr"")"),"Konusna brava")</f>
        <v>Konusna brava</v>
      </c>
    </row>
    <row r="2427" spans="1:2" x14ac:dyDescent="0.2">
      <c r="A2427" s="21" t="s">
        <v>356</v>
      </c>
      <c r="B2427" s="18" t="str">
        <f ca="1">IFERROR(__xludf.DUMMYFUNCTION("GOOGLETRANSLATE(C813,""en"",""hr"")"),"Čep za zaključavanje")</f>
        <v>Čep za zaključavanje</v>
      </c>
    </row>
    <row r="2428" spans="1:2" x14ac:dyDescent="0.2">
      <c r="A2428" s="21" t="s">
        <v>996</v>
      </c>
      <c r="B2428" s="18" t="str">
        <f ca="1">IFERROR(__xludf.DUMMYFUNCTION("GOOGLETRANSLATE(C3180,""en"",""hr"")"),"Čep za zaključavanje")</f>
        <v>Čep za zaključavanje</v>
      </c>
    </row>
    <row r="2429" spans="1:2" x14ac:dyDescent="0.2">
      <c r="A2429" s="21" t="s">
        <v>1155</v>
      </c>
      <c r="B2429" s="18" t="str">
        <f ca="1">IFERROR(__xludf.DUMMYFUNCTION("GOOGLETRANSLATE(C3754,""en"",""hr"")"),"Čep za zaključavanje")</f>
        <v>Čep za zaključavanje</v>
      </c>
    </row>
    <row r="2430" spans="1:2" x14ac:dyDescent="0.2">
      <c r="A2430" s="21" t="s">
        <v>293</v>
      </c>
      <c r="B2430" s="18" t="str">
        <f ca="1">IFERROR(__xludf.DUMMYFUNCTION("GOOGLETRANSLATE(C647,""en"",""hr"")"),"Čep za zaključavanje")</f>
        <v>Čep za zaključavanje</v>
      </c>
    </row>
    <row r="2431" spans="1:2" x14ac:dyDescent="0.2">
      <c r="A2431" s="21" t="s">
        <v>341</v>
      </c>
      <c r="B2431" s="18" t="str">
        <f ca="1">IFERROR(__xludf.DUMMYFUNCTION("GOOGLETRANSLATE(C763,""en"",""hr"")"),"Čep za zaključavanje")</f>
        <v>Čep za zaključavanje</v>
      </c>
    </row>
    <row r="2432" spans="1:2" x14ac:dyDescent="0.2">
      <c r="A2432" s="21" t="s">
        <v>1089</v>
      </c>
      <c r="B2432" s="18" t="str">
        <f ca="1">IFERROR(__xludf.DUMMYFUNCTION("GOOGLETRANSLATE(C3511,""en"",""hr"")"),"Čep za zaključavanje")</f>
        <v>Čep za zaključavanje</v>
      </c>
    </row>
    <row r="2433" spans="1:2" x14ac:dyDescent="0.2">
      <c r="A2433" s="21" t="s">
        <v>1090</v>
      </c>
      <c r="B2433" s="18" t="str">
        <f ca="1">IFERROR(__xludf.DUMMYFUNCTION("GOOGLETRANSLATE(C3513,""en"",""hr"")"),"Čep za zaključavanje")</f>
        <v>Čep za zaključavanje</v>
      </c>
    </row>
    <row r="2434" spans="1:2" x14ac:dyDescent="0.2">
      <c r="A2434" s="21" t="s">
        <v>1666</v>
      </c>
      <c r="B2434" s="18" t="str">
        <f ca="1">IFERROR(__xludf.DUMMYFUNCTION("GOOGLETRANSLATE(C5748,""en"",""hr"")"),"Čep za zaključavanje")</f>
        <v>Čep za zaključavanje</v>
      </c>
    </row>
    <row r="2435" spans="1:2" x14ac:dyDescent="0.2">
      <c r="A2435" s="21" t="s">
        <v>1797</v>
      </c>
      <c r="B2435" s="18" t="str">
        <f ca="1">IFERROR(__xludf.DUMMYFUNCTION("GOOGLETRANSLATE(C6247,""en"",""hr"")"),"Prsten u boji ženski plavi")</f>
        <v>Prsten u boji ženski plavi</v>
      </c>
    </row>
    <row r="2436" spans="1:2" x14ac:dyDescent="0.2">
      <c r="A2436" s="21" t="s">
        <v>1799</v>
      </c>
      <c r="B2436" s="18" t="str">
        <f ca="1">IFERROR(__xludf.DUMMYFUNCTION("GOOGLETRANSLATE(C6250,""en"",""hr"")"),"Prsten u boji ženski crveni")</f>
        <v>Prsten u boji ženski crveni</v>
      </c>
    </row>
    <row r="2437" spans="1:2" x14ac:dyDescent="0.2">
      <c r="A2437" s="21" t="s">
        <v>1420</v>
      </c>
      <c r="B2437" s="18" t="str">
        <f ca="1">IFERROR(__xludf.DUMMYFUNCTION("GOOGLETRANSLATE(C4619,""en"",""hr"")"),"Obojeni prsten ženski žuti")</f>
        <v>Obojeni prsten ženski žuti</v>
      </c>
    </row>
    <row r="2438" spans="1:2" x14ac:dyDescent="0.2">
      <c r="A2438" s="21" t="s">
        <v>1421</v>
      </c>
      <c r="B2438" s="18" t="str">
        <f ca="1">IFERROR(__xludf.DUMMYFUNCTION("GOOGLETRANSLATE(C4620,""en"",""hr"")"),"Ženski prsten u zelenoj boji")</f>
        <v>Ženski prsten u zelenoj boji</v>
      </c>
    </row>
    <row r="2439" spans="1:2" x14ac:dyDescent="0.2">
      <c r="A2439" s="21" t="s">
        <v>1798</v>
      </c>
      <c r="B2439" s="18" t="str">
        <f ca="1">IFERROR(__xludf.DUMMYFUNCTION("GOOGLETRANSLATE(C6249,""en"",""hr"")"),"Prsten u boji ženski crni")</f>
        <v>Prsten u boji ženski crni</v>
      </c>
    </row>
    <row r="2440" spans="1:2" x14ac:dyDescent="0.2">
      <c r="A2440" s="21" t="s">
        <v>1796</v>
      </c>
      <c r="B2440" s="18" t="str">
        <f ca="1">IFERROR(__xludf.DUMMYFUNCTION("GOOGLETRANSLATE(C6246,""en"",""hr"")"),"Prsten u boji muški plavi")</f>
        <v>Prsten u boji muški plavi</v>
      </c>
    </row>
    <row r="2441" spans="1:2" x14ac:dyDescent="0.2">
      <c r="A2441" s="21" t="s">
        <v>1795</v>
      </c>
      <c r="B2441" s="18" t="str">
        <f ca="1">IFERROR(__xludf.DUMMYFUNCTION("GOOGLETRANSLATE(C6245,""en"",""hr"")"),"Obojeni prsten muški crveni")</f>
        <v>Obojeni prsten muški crveni</v>
      </c>
    </row>
    <row r="2442" spans="1:2" x14ac:dyDescent="0.2">
      <c r="A2442" s="21" t="s">
        <v>1418</v>
      </c>
      <c r="B2442" s="18" t="str">
        <f ca="1">IFERROR(__xludf.DUMMYFUNCTION("GOOGLETRANSLATE(C4612,""en"",""hr"")"),"Obojeni prsten muški žuti")</f>
        <v>Obojeni prsten muški žuti</v>
      </c>
    </row>
    <row r="2443" spans="1:2" x14ac:dyDescent="0.2">
      <c r="A2443" s="21" t="s">
        <v>1419</v>
      </c>
      <c r="B2443" s="18" t="str">
        <f ca="1">IFERROR(__xludf.DUMMYFUNCTION("GOOGLETRANSLATE(C4617,""en"",""hr"")"),"Muški prsten u zelenoj boji")</f>
        <v>Muški prsten u zelenoj boji</v>
      </c>
    </row>
    <row r="2444" spans="1:2" x14ac:dyDescent="0.2">
      <c r="A2444" s="21" t="s">
        <v>1800</v>
      </c>
      <c r="B2444" s="18" t="str">
        <f ca="1">IFERROR(__xludf.DUMMYFUNCTION("GOOGLETRANSLATE(C6252,""en"",""hr"")"),"Obojeni prsten muški crni")</f>
        <v>Obojeni prsten muški crni</v>
      </c>
    </row>
    <row r="2445" spans="1:2" x14ac:dyDescent="0.2">
      <c r="A2445" s="21" t="s">
        <v>1424</v>
      </c>
      <c r="B2445" s="18" t="str">
        <f ca="1">IFERROR(__xludf.DUMMYFUNCTION("GOOGLETRANSLATE(C4627,""en"",""hr"")"),"Obojeni prsten muški žuti")</f>
        <v>Obojeni prsten muški žuti</v>
      </c>
    </row>
    <row r="2446" spans="1:2" x14ac:dyDescent="0.2">
      <c r="A2446" s="21" t="s">
        <v>1423</v>
      </c>
      <c r="B2446" s="18" t="str">
        <f ca="1">IFERROR(__xludf.DUMMYFUNCTION("GOOGLETRANSLATE(C4625,""en"",""hr"")"),"Muški prsten u zelenoj boji")</f>
        <v>Muški prsten u zelenoj boji</v>
      </c>
    </row>
    <row r="2447" spans="1:2" x14ac:dyDescent="0.2">
      <c r="A2447" s="21" t="s">
        <v>1429</v>
      </c>
      <c r="B2447" s="18" t="str">
        <f ca="1">IFERROR(__xludf.DUMMYFUNCTION("GOOGLETRANSLATE(C4642,""en"",""hr"")"),"Obojeni prsten ženski žuti")</f>
        <v>Obojeni prsten ženski žuti</v>
      </c>
    </row>
    <row r="2448" spans="1:2" x14ac:dyDescent="0.2">
      <c r="A2448" s="21" t="s">
        <v>1430</v>
      </c>
      <c r="B2448" s="18" t="str">
        <f ca="1">IFERROR(__xludf.DUMMYFUNCTION("GOOGLETRANSLATE(C4645,""en"",""hr"")"),"Ženski prsten u zelenoj boji")</f>
        <v>Ženski prsten u zelenoj boji</v>
      </c>
    </row>
    <row r="2449" spans="1:2" x14ac:dyDescent="0.2">
      <c r="A2449" s="21" t="s">
        <v>1307</v>
      </c>
      <c r="B2449" s="18" t="str">
        <f ca="1">IFERROR(__xludf.DUMMYFUNCTION("GOOGLETRANSLATE(C4125,""en"",""hr"")"),"Okretni zglob")</f>
        <v>Okretni zglob</v>
      </c>
    </row>
    <row r="2450" spans="1:2" x14ac:dyDescent="0.2">
      <c r="A2450" s="21" t="s">
        <v>1164</v>
      </c>
      <c r="B2450" s="18" t="str">
        <f ca="1">IFERROR(__xludf.DUMMYFUNCTION("GOOGLETRANSLATE(C3771,""en"",""hr"")"),"Rotirajuća spojka")</f>
        <v>Rotirajuća spojka</v>
      </c>
    </row>
    <row r="2451" spans="1:2" x14ac:dyDescent="0.2">
      <c r="A2451" s="21" t="s">
        <v>1373</v>
      </c>
      <c r="B2451" s="18" t="str">
        <f ca="1">IFERROR(__xludf.DUMMYFUNCTION("GOOGLETRANSLATE(C4353,""en"",""hr"")"),"T-rotirajuća spojka")</f>
        <v>T-rotirajuća spojka</v>
      </c>
    </row>
    <row r="2452" spans="1:2" x14ac:dyDescent="0.2">
      <c r="A2452" s="21" t="s">
        <v>1163</v>
      </c>
      <c r="B2452" s="18" t="str">
        <f ca="1">IFERROR(__xludf.DUMMYFUNCTION("GOOGLETRANSLATE(C3770,""en"",""hr"")"),"Veza")</f>
        <v>Veza</v>
      </c>
    </row>
    <row r="2453" spans="1:2" x14ac:dyDescent="0.2">
      <c r="A2453" s="21" t="s">
        <v>871</v>
      </c>
      <c r="B2453" s="18" t="str">
        <f ca="1">IFERROR(__xludf.DUMMYFUNCTION("GOOGLETRANSLATE(C2551,""en"",""hr"")"),"Veza")</f>
        <v>Veza</v>
      </c>
    </row>
    <row r="2454" spans="1:2" x14ac:dyDescent="0.2">
      <c r="A2454" s="21" t="s">
        <v>1339</v>
      </c>
      <c r="B2454" s="18" t="str">
        <f ca="1">IFERROR(__xludf.DUMMYFUNCTION("GOOGLETRANSLATE(C4209,""en"",""hr"")"),"Veza")</f>
        <v>Veza</v>
      </c>
    </row>
    <row r="2455" spans="1:2" x14ac:dyDescent="0.2">
      <c r="A2455" s="21" t="s">
        <v>490</v>
      </c>
      <c r="B2455" s="18" t="str">
        <f ca="1">IFERROR(__xludf.DUMMYFUNCTION("GOOGLETRANSLATE(C1189,""en"",""hr"")"),"Priključak")</f>
        <v>Priključak</v>
      </c>
    </row>
    <row r="2456" spans="1:2" x14ac:dyDescent="0.2">
      <c r="A2456" s="21" t="s">
        <v>43</v>
      </c>
      <c r="B2456" s="18" t="str">
        <f ca="1">IFERROR(__xludf.DUMMYFUNCTION("GOOGLETRANSLATE(C69,""en"",""hr"")"),"Set kočionih obloga")</f>
        <v>Set kočionih obloga</v>
      </c>
    </row>
    <row r="2457" spans="1:2" x14ac:dyDescent="0.2">
      <c r="A2457" s="21" t="s">
        <v>537</v>
      </c>
      <c r="B2457" s="18" t="str">
        <f ca="1">IFERROR(__xludf.DUMMYFUNCTION("GOOGLETRANSLATE(C1404,""en"",""hr"")"),"Okrugli tampon")</f>
        <v>Okrugli tampon</v>
      </c>
    </row>
    <row r="2458" spans="1:2" x14ac:dyDescent="0.2">
      <c r="A2458" s="21" t="s">
        <v>711</v>
      </c>
      <c r="B2458" s="18" t="str">
        <f ca="1">IFERROR(__xludf.DUMMYFUNCTION("GOOGLETRANSLATE(C2247,""en"",""hr"")"),"Okrugli tampon")</f>
        <v>Okrugli tampon</v>
      </c>
    </row>
    <row r="2459" spans="1:2" x14ac:dyDescent="0.2">
      <c r="A2459" s="21" t="s">
        <v>919</v>
      </c>
      <c r="B2459" s="18" t="str">
        <f ca="1">IFERROR(__xludf.DUMMYFUNCTION("GOOGLETRANSLATE(C2758,""en"",""hr"")"),"Okrugli tampon")</f>
        <v>Okrugli tampon</v>
      </c>
    </row>
    <row r="2460" spans="1:2" x14ac:dyDescent="0.2">
      <c r="A2460" s="21" t="s">
        <v>833</v>
      </c>
      <c r="B2460" s="18" t="str">
        <f ca="1">IFERROR(__xludf.DUMMYFUNCTION("GOOGLETRANSLATE(C2493,""en"",""hr"")"),"Pufer")</f>
        <v>Pufer</v>
      </c>
    </row>
    <row r="2461" spans="1:2" x14ac:dyDescent="0.2">
      <c r="A2461" s="21" t="s">
        <v>1434</v>
      </c>
      <c r="B2461" s="18" t="str">
        <f ca="1">IFERROR(__xludf.DUMMYFUNCTION("GOOGLETRANSLATE(C4659,""en"",""hr"")"),"Gumeni tampon")</f>
        <v>Gumeni tampon</v>
      </c>
    </row>
    <row r="2462" spans="1:2" x14ac:dyDescent="0.2">
      <c r="A2462" s="21" t="s">
        <v>1032</v>
      </c>
      <c r="B2462" s="18" t="str">
        <f ca="1">IFERROR(__xludf.DUMMYFUNCTION("GOOGLETRANSLATE(C3359,""en"",""hr"")"),"Stop guma")</f>
        <v>Stop guma</v>
      </c>
    </row>
    <row r="2463" spans="1:2" x14ac:dyDescent="0.2">
      <c r="A2463" s="21" t="s">
        <v>1038</v>
      </c>
      <c r="B2463" s="18" t="str">
        <f ca="1">IFERROR(__xludf.DUMMYFUNCTION("GOOGLETRANSLATE(C3386,""en"",""hr"")"),"Okrugli tampon")</f>
        <v>Okrugli tampon</v>
      </c>
    </row>
    <row r="2464" spans="1:2" x14ac:dyDescent="0.2">
      <c r="A2464" s="21" t="s">
        <v>1438</v>
      </c>
      <c r="B2464" s="18" t="str">
        <f ca="1">IFERROR(__xludf.DUMMYFUNCTION("GOOGLETRANSLATE(C4682,""en"",""hr"")"),"Okrugli tampon")</f>
        <v>Okrugli tampon</v>
      </c>
    </row>
    <row r="2465" spans="1:2" x14ac:dyDescent="0.2">
      <c r="A2465" s="21" t="s">
        <v>964</v>
      </c>
      <c r="B2465" s="18" t="str">
        <f ca="1">IFERROR(__xludf.DUMMYFUNCTION("GOOGLETRANSLATE(C3068,""en"",""hr"")"),"Silentbloc")</f>
        <v>Silentbloc</v>
      </c>
    </row>
    <row r="2466" spans="1:2" x14ac:dyDescent="0.2">
      <c r="A2466" s="21" t="s">
        <v>473</v>
      </c>
      <c r="B2466" s="18" t="str">
        <f ca="1">IFERROR(__xludf.DUMMYFUNCTION("GOOGLETRANSLATE(C1134,""en"",""hr"")"),"Tihi ležaj")</f>
        <v>Tihi ležaj</v>
      </c>
    </row>
    <row r="2467" spans="1:2" x14ac:dyDescent="0.2">
      <c r="A2467" s="21" t="s">
        <v>474</v>
      </c>
      <c r="B2467" s="18" t="str">
        <f ca="1">IFERROR(__xludf.DUMMYFUNCTION("GOOGLETRANSLATE(C1135,""en"",""hr"")"),"Tihi ležaj")</f>
        <v>Tihi ležaj</v>
      </c>
    </row>
    <row r="2468" spans="1:2" x14ac:dyDescent="0.2">
      <c r="A2468" s="21" t="s">
        <v>544</v>
      </c>
      <c r="B2468" s="18" t="str">
        <f ca="1">IFERROR(__xludf.DUMMYFUNCTION("GOOGLETRANSLATE(C1442,""en"",""hr"")"),"Tihi ležaj")</f>
        <v>Tihi ležaj</v>
      </c>
    </row>
    <row r="2469" spans="1:2" x14ac:dyDescent="0.2">
      <c r="A2469" s="21" t="s">
        <v>387</v>
      </c>
      <c r="B2469" s="18" t="str">
        <f ca="1">IFERROR(__xludf.DUMMYFUNCTION("GOOGLETRANSLATE(C907,""en"",""hr"")"),"Hidro ležaj")</f>
        <v>Hidro ležaj</v>
      </c>
    </row>
    <row r="2470" spans="1:2" x14ac:dyDescent="0.2">
      <c r="A2470" s="21" t="s">
        <v>232</v>
      </c>
      <c r="B2470" s="18" t="str">
        <f ca="1">IFERROR(__xludf.DUMMYFUNCTION("GOOGLETRANSLATE(C484,""en"",""hr"")"),"Proljeće")</f>
        <v>Proljeće</v>
      </c>
    </row>
    <row r="2471" spans="1:2" x14ac:dyDescent="0.2">
      <c r="A2471" s="21" t="s">
        <v>549</v>
      </c>
      <c r="B2471" s="18" t="str">
        <f ca="1">IFERROR(__xludf.DUMMYFUNCTION("GOOGLETRANSLATE(C1473,""en"",""hr"")"),"Gumeni prigušivač")</f>
        <v>Gumeni prigušivač</v>
      </c>
    </row>
    <row r="2472" spans="1:2" x14ac:dyDescent="0.2">
      <c r="A2472" s="21" t="s">
        <v>42</v>
      </c>
      <c r="B2472" s="18" t="str">
        <f ca="1">IFERROR(__xludf.DUMMYFUNCTION("GOOGLETRANSLATE(C62,""en"",""hr"")"),"konusni ležaj")</f>
        <v>konusni ležaj</v>
      </c>
    </row>
    <row r="2473" spans="1:2" x14ac:dyDescent="0.2">
      <c r="A2473" s="21" t="s">
        <v>941</v>
      </c>
      <c r="B2473" s="18" t="str">
        <f ca="1">IFERROR(__xludf.DUMMYFUNCTION("GOOGLETRANSLATE(C2882,""en"",""hr"")"),"Opružni element")</f>
        <v>Opružni element</v>
      </c>
    </row>
    <row r="2474" spans="1:2" x14ac:dyDescent="0.2">
      <c r="A2474" s="21" t="s">
        <v>288</v>
      </c>
      <c r="B2474" s="18" t="str">
        <f ca="1">IFERROR(__xludf.DUMMYFUNCTION("GOOGLETRANSLATE(C635,""en"",""hr"")"),"Zaštita prirubnice")</f>
        <v>Zaštita prirubnice</v>
      </c>
    </row>
    <row r="2475" spans="1:2" x14ac:dyDescent="0.2">
      <c r="A2475" s="21" t="s">
        <v>1692</v>
      </c>
      <c r="B2475" s="18" t="str">
        <f ca="1">IFERROR(__xludf.DUMMYFUNCTION("GOOGLETRANSLATE(C5870,""en"",""hr"")"),"Collet sertir")</f>
        <v>Collet sertir</v>
      </c>
    </row>
    <row r="2476" spans="1:2" x14ac:dyDescent="0.2">
      <c r="A2476" s="21" t="s">
        <v>1675</v>
      </c>
      <c r="B2476" s="18" t="str">
        <f ca="1">IFERROR(__xludf.DUMMYFUNCTION("GOOGLETRANSLATE(C5790,""en"",""hr"")"),"Priključak")</f>
        <v>Priključak</v>
      </c>
    </row>
    <row r="2477" spans="1:2" x14ac:dyDescent="0.2">
      <c r="A2477" s="21" t="s">
        <v>1689</v>
      </c>
      <c r="B2477" s="18" t="str">
        <f ca="1">IFERROR(__xludf.DUMMYFUNCTION("GOOGLETRANSLATE(C5863,""en"",""hr"")"),"Priključak")</f>
        <v>Priključak</v>
      </c>
    </row>
    <row r="2478" spans="1:2" x14ac:dyDescent="0.2">
      <c r="A2478" s="21" t="s">
        <v>1674</v>
      </c>
      <c r="B2478" s="18" t="str">
        <f ca="1">IFERROR(__xludf.DUMMYFUNCTION("GOOGLETRANSLATE(C5789,""en"",""hr"")"),"Uklapanje")</f>
        <v>Uklapanje</v>
      </c>
    </row>
    <row r="2479" spans="1:2" x14ac:dyDescent="0.2">
      <c r="A2479" s="21" t="s">
        <v>1733</v>
      </c>
      <c r="B2479" s="18" t="str">
        <f ca="1">IFERROR(__xludf.DUMMYFUNCTION("GOOGLETRANSLATE(C6026,""en"",""hr"")"),"Prirubnica")</f>
        <v>Prirubnica</v>
      </c>
    </row>
    <row r="2480" spans="1:2" x14ac:dyDescent="0.2">
      <c r="A2480" s="21" t="s">
        <v>1715</v>
      </c>
      <c r="B2480" s="18" t="str">
        <f ca="1">IFERROR(__xludf.DUMMYFUNCTION("GOOGLETRANSLATE(C5955,""en"",""hr"")"),"Prirubnica")</f>
        <v>Prirubnica</v>
      </c>
    </row>
    <row r="2481" spans="1:2" x14ac:dyDescent="0.2">
      <c r="A2481" s="21" t="s">
        <v>1553</v>
      </c>
      <c r="B2481" s="18" t="str">
        <f ca="1">IFERROR(__xludf.DUMMYFUNCTION("GOOGLETRANSLATE(C5291,""en"",""hr"")"),"Ručka")</f>
        <v>Ručka</v>
      </c>
    </row>
    <row r="2482" spans="1:2" x14ac:dyDescent="0.2">
      <c r="A2482" s="21" t="s">
        <v>1542</v>
      </c>
      <c r="B2482" s="18" t="str">
        <f ca="1">IFERROR(__xludf.DUMMYFUNCTION("GOOGLETRANSLATE(C5246,""en"",""hr"")"),"Bregasta poluga")</f>
        <v>Bregasta poluga</v>
      </c>
    </row>
    <row r="2483" spans="1:2" x14ac:dyDescent="0.2">
      <c r="A2483" s="21" t="s">
        <v>173</v>
      </c>
      <c r="B2483" s="18" t="str">
        <f ca="1">IFERROR(__xludf.DUMMYFUNCTION("GOOGLETRANSLATE(C339,""en"",""hr"")"),"Šipka za zaključavanje 5 mm")</f>
        <v>Šipka za zaključavanje 5 mm</v>
      </c>
    </row>
    <row r="2484" spans="1:2" x14ac:dyDescent="0.2">
      <c r="A2484" s="21" t="s">
        <v>1504</v>
      </c>
      <c r="B2484" s="18" t="str">
        <f ca="1">IFERROR(__xludf.DUMMYFUNCTION("GOOGLETRANSLATE(C5054,""en"",""hr"")"),"Držač veze")</f>
        <v>Držač veze</v>
      </c>
    </row>
    <row r="2485" spans="1:2" x14ac:dyDescent="0.2">
      <c r="A2485" s="21" t="s">
        <v>1474</v>
      </c>
      <c r="B2485" s="18" t="str">
        <f ca="1">IFERROR(__xludf.DUMMYFUNCTION("GOOGLETRANSLATE(C4957,""en"",""hr"")"),"Ručka")</f>
        <v>Ručka</v>
      </c>
    </row>
    <row r="2486" spans="1:2" x14ac:dyDescent="0.2">
      <c r="A2486" s="21" t="s">
        <v>1036</v>
      </c>
      <c r="B2486" s="18" t="str">
        <f ca="1">IFERROR(__xludf.DUMMYFUNCTION("GOOGLETRANSLATE(C3371,""en"",""hr"")"),"Stezna poluga")</f>
        <v>Stezna poluga</v>
      </c>
    </row>
    <row r="2487" spans="1:2" x14ac:dyDescent="0.2">
      <c r="A2487" s="21" t="s">
        <v>1325</v>
      </c>
      <c r="B2487" s="18" t="str">
        <f ca="1">IFERROR(__xludf.DUMMYFUNCTION("GOOGLETRANSLATE(C4168,""en"",""hr"")"),"Držač")</f>
        <v>Držač</v>
      </c>
    </row>
    <row r="2488" spans="1:2" x14ac:dyDescent="0.2">
      <c r="A2488" s="21" t="s">
        <v>1545</v>
      </c>
      <c r="B2488" s="18" t="str">
        <f ca="1">IFERROR(__xludf.DUMMYFUNCTION("GOOGLETRANSLATE(C5259,""en"",""hr"")"),"Zvjezdasta ručka")</f>
        <v>Zvjezdasta ručka</v>
      </c>
    </row>
    <row r="2489" spans="1:2" x14ac:dyDescent="0.2">
      <c r="A2489" s="21" t="s">
        <v>1544</v>
      </c>
      <c r="B2489" s="18" t="str">
        <f ca="1">IFERROR(__xludf.DUMMYFUNCTION("GOOGLETRANSLATE(C5258,""en"",""hr"")"),"Vreteno")</f>
        <v>Vreteno</v>
      </c>
    </row>
    <row r="2490" spans="1:2" x14ac:dyDescent="0.2">
      <c r="A2490" s="21" t="s">
        <v>1752</v>
      </c>
      <c r="B2490" s="18" t="str">
        <f ca="1">IFERROR(__xludf.DUMMYFUNCTION("GOOGLETRANSLATE(C6115,""en"",""hr"")"),"4/2 smjerni ventil")</f>
        <v>4/2 smjerni ventil</v>
      </c>
    </row>
    <row r="2491" spans="1:2" x14ac:dyDescent="0.2">
      <c r="A2491" s="21" t="s">
        <v>1750</v>
      </c>
      <c r="B2491" s="18" t="str">
        <f ca="1">IFERROR(__xludf.DUMMYFUNCTION("GOOGLETRANSLATE(C6113,""en"",""hr"")"),"4/2-putni ventil")</f>
        <v>4/2-putni ventil</v>
      </c>
    </row>
    <row r="2492" spans="1:2" x14ac:dyDescent="0.2">
      <c r="A2492" s="21" t="s">
        <v>1748</v>
      </c>
      <c r="B2492" s="18" t="str">
        <f ca="1">IFERROR(__xludf.DUMMYFUNCTION("GOOGLETRANSLATE(C6111,""en"",""hr"")"),"Regulator")</f>
        <v>Regulator</v>
      </c>
    </row>
    <row r="2493" spans="1:2" x14ac:dyDescent="0.2">
      <c r="A2493" s="21" t="s">
        <v>1763</v>
      </c>
      <c r="B2493" s="18" t="str">
        <f ca="1">IFERROR(__xludf.DUMMYFUNCTION("GOOGLETRANSLATE(C6130,""en"",""hr"")"),"2/2 potporni ventil")</f>
        <v>2/2 potporni ventil</v>
      </c>
    </row>
    <row r="2494" spans="1:2" x14ac:dyDescent="0.2">
      <c r="A2494" s="21" t="s">
        <v>1774</v>
      </c>
      <c r="B2494" s="18" t="str">
        <f ca="1">IFERROR(__xludf.DUMMYFUNCTION("GOOGLETRANSLATE(C6146,""en"",""hr"")"),"4/3-smjerni ventil")</f>
        <v>4/3-smjerni ventil</v>
      </c>
    </row>
    <row r="2495" spans="1:2" x14ac:dyDescent="0.2">
      <c r="A2495" s="21" t="s">
        <v>1766</v>
      </c>
      <c r="B2495" s="18" t="str">
        <f ca="1">IFERROR(__xludf.DUMMYFUNCTION("GOOGLETRANSLATE(C6134,""en"",""hr"")"),"4/3-smjerni ventil")</f>
        <v>4/3-smjerni ventil</v>
      </c>
    </row>
    <row r="2496" spans="1:2" x14ac:dyDescent="0.2">
      <c r="A2496" s="21" t="s">
        <v>1765</v>
      </c>
      <c r="B2496" s="18" t="str">
        <f ca="1">IFERROR(__xludf.DUMMYFUNCTION("GOOGLETRANSLATE(C6133,""en"",""hr"")"),"uložak")</f>
        <v>uložak</v>
      </c>
    </row>
    <row r="2497" spans="1:2" x14ac:dyDescent="0.2">
      <c r="A2497" s="21" t="s">
        <v>1776</v>
      </c>
      <c r="B2497" s="18" t="str">
        <f ca="1">IFERROR(__xludf.DUMMYFUNCTION("GOOGLETRANSLATE(C6155,""en"",""hr"")"),"2/2 potporni ventil")</f>
        <v>2/2 potporni ventil</v>
      </c>
    </row>
    <row r="2498" spans="1:2" x14ac:dyDescent="0.2">
      <c r="A2498" s="21" t="s">
        <v>1764</v>
      </c>
      <c r="B2498" s="18" t="str">
        <f ca="1">IFERROR(__xludf.DUMMYFUNCTION("GOOGLETRANSLATE(C6132,""en"",""hr"")"),"3/2-ventil")</f>
        <v>3/2-ventil</v>
      </c>
    </row>
    <row r="2499" spans="1:2" x14ac:dyDescent="0.2">
      <c r="A2499" s="21" t="s">
        <v>1784</v>
      </c>
      <c r="B2499" s="18" t="str">
        <f ca="1">IFERROR(__xludf.DUMMYFUNCTION("GOOGLETRANSLATE(C6184,""en"",""hr"")"),"3/2-ventil")</f>
        <v>3/2-ventil</v>
      </c>
    </row>
    <row r="2500" spans="1:2" x14ac:dyDescent="0.2">
      <c r="A2500" s="21" t="s">
        <v>1767</v>
      </c>
      <c r="B2500" s="18" t="str">
        <f ca="1">IFERROR(__xludf.DUMMYFUNCTION("GOOGLETRANSLATE(C6136,""en"",""hr"")"),"4/2-putni ventil")</f>
        <v>4/2-putni ventil</v>
      </c>
    </row>
    <row r="2501" spans="1:2" x14ac:dyDescent="0.2">
      <c r="A2501" s="21" t="s">
        <v>1770</v>
      </c>
      <c r="B2501" s="18" t="str">
        <f ca="1">IFERROR(__xludf.DUMMYFUNCTION("GOOGLETRANSLATE(C6139,""en"",""hr"")"),"Solenoid")</f>
        <v>Solenoid</v>
      </c>
    </row>
    <row r="2502" spans="1:2" x14ac:dyDescent="0.2">
      <c r="A2502" s="21" t="s">
        <v>1772</v>
      </c>
      <c r="B2502" s="18" t="str">
        <f ca="1">IFERROR(__xludf.DUMMYFUNCTION("GOOGLETRANSLATE(C6141,""en"",""hr"")"),"Solenoid")</f>
        <v>Solenoid</v>
      </c>
    </row>
    <row r="2503" spans="1:2" x14ac:dyDescent="0.2">
      <c r="A2503" s="21" t="s">
        <v>1773</v>
      </c>
      <c r="B2503" s="18" t="str">
        <f ca="1">IFERROR(__xludf.DUMMYFUNCTION("GOOGLETRANSLATE(C6142,""en"",""hr"")"),"Solenoid")</f>
        <v>Solenoid</v>
      </c>
    </row>
    <row r="2504" spans="1:2" x14ac:dyDescent="0.2">
      <c r="A2504" s="21" t="s">
        <v>1746</v>
      </c>
      <c r="B2504" s="18" t="str">
        <f ca="1">IFERROR(__xludf.DUMMYFUNCTION("GOOGLETRANSLATE(C6108,""en"",""hr"")"),"3/2-ventil")</f>
        <v>3/2-ventil</v>
      </c>
    </row>
    <row r="2505" spans="1:2" x14ac:dyDescent="0.2">
      <c r="A2505" s="21" t="s">
        <v>1749</v>
      </c>
      <c r="B2505" s="18" t="str">
        <f ca="1">IFERROR(__xludf.DUMMYFUNCTION("GOOGLETRANSLATE(C6112,""en"",""hr"")"),"4/2-putni ventil")</f>
        <v>4/2-putni ventil</v>
      </c>
    </row>
    <row r="2506" spans="1:2" x14ac:dyDescent="0.2">
      <c r="A2506" s="21" t="s">
        <v>1751</v>
      </c>
      <c r="B2506" s="18" t="str">
        <f ca="1">IFERROR(__xludf.DUMMYFUNCTION("GOOGLETRANSLATE(C6114,""en"",""hr"")"),"Ventil")</f>
        <v>Ventil</v>
      </c>
    </row>
    <row r="2507" spans="1:2" x14ac:dyDescent="0.2">
      <c r="A2507" s="21" t="s">
        <v>1309</v>
      </c>
      <c r="B2507" s="18" t="str">
        <f ca="1">IFERROR(__xludf.DUMMYFUNCTION("GOOGLETRANSLATE(C4128,""en"",""hr"")"),"Usmjereni ventil kpl. 2/2")</f>
        <v>Usmjereni ventil kpl. 2/2</v>
      </c>
    </row>
    <row r="2508" spans="1:2" x14ac:dyDescent="0.2">
      <c r="A2508" s="21" t="s">
        <v>1376</v>
      </c>
      <c r="B2508" s="18" t="str">
        <f ca="1">IFERROR(__xludf.DUMMYFUNCTION("GOOGLETRANSLATE(C4356,""en"",""hr"")"),"Ventil za spuštanje kočnice 200 bara")</f>
        <v>Ventil za spuštanje kočnice 200 bara</v>
      </c>
    </row>
    <row r="2509" spans="1:2" x14ac:dyDescent="0.2">
      <c r="A2509" s="21" t="s">
        <v>1754</v>
      </c>
      <c r="B2509" s="18" t="str">
        <f ca="1">IFERROR(__xludf.DUMMYFUNCTION("GOOGLETRANSLATE(C6118,""en"",""hr"")"),"Tlačni ventil")</f>
        <v>Tlačni ventil</v>
      </c>
    </row>
    <row r="2510" spans="1:2" x14ac:dyDescent="0.2">
      <c r="A2510" s="21" t="s">
        <v>1745</v>
      </c>
      <c r="B2510" s="18" t="str">
        <f ca="1">IFERROR(__xludf.DUMMYFUNCTION("GOOGLETRANSLATE(C6107,""en"",""hr"")"),"Ventil za smanjenje tlaka - prednamješten na 170 bara")</f>
        <v>Ventil za smanjenje tlaka - prednamješten na 170 bara</v>
      </c>
    </row>
    <row r="2511" spans="1:2" x14ac:dyDescent="0.2">
      <c r="A2511" s="21" t="s">
        <v>1788</v>
      </c>
      <c r="B2511" s="18" t="str">
        <f ca="1">IFERROR(__xludf.DUMMYFUNCTION("GOOGLETRANSLATE(C6191,""en"",""hr"")"),"Tlačni ventil")</f>
        <v>Tlačni ventil</v>
      </c>
    </row>
    <row r="2512" spans="1:2" x14ac:dyDescent="0.2">
      <c r="A2512" s="21" t="s">
        <v>1160</v>
      </c>
      <c r="B2512" s="18" t="str">
        <f ca="1">IFERROR(__xludf.DUMMYFUNCTION("GOOGLETRANSLATE(C3765,""en"",""hr"")"),"Ventil za kontrolu tlaka")</f>
        <v>Ventil za kontrolu tlaka</v>
      </c>
    </row>
    <row r="2513" spans="1:2" x14ac:dyDescent="0.2">
      <c r="A2513" s="21" t="s">
        <v>353</v>
      </c>
      <c r="B2513" s="18" t="str">
        <f ca="1">IFERROR(__xludf.DUMMYFUNCTION("GOOGLETRANSLATE(C808,""en"",""hr"")"),"Ventil")</f>
        <v>Ventil</v>
      </c>
    </row>
    <row r="2514" spans="1:2" x14ac:dyDescent="0.2">
      <c r="A2514" s="21" t="s">
        <v>1768</v>
      </c>
      <c r="B2514" s="18" t="str">
        <f ca="1">IFERROR(__xludf.DUMMYFUNCTION("GOOGLETRANSLATE(C6137,""en"",""hr"")"),"Ventil za redukciju tlaka - prednamješten na 20 bara")</f>
        <v>Ventil za redukciju tlaka - prednamješten na 20 bara</v>
      </c>
    </row>
    <row r="2515" spans="1:2" x14ac:dyDescent="0.2">
      <c r="A2515" s="21" t="s">
        <v>1777</v>
      </c>
      <c r="B2515" s="18" t="str">
        <f ca="1">IFERROR(__xludf.DUMMYFUNCTION("GOOGLETRANSLATE(C6158,""en"",""hr"")"),"Ventil za redukciju tlaka - prednamješten na 40 bara")</f>
        <v>Ventil za redukciju tlaka - prednamješten na 40 bara</v>
      </c>
    </row>
    <row r="2516" spans="1:2" x14ac:dyDescent="0.2">
      <c r="A2516" s="21" t="s">
        <v>1775</v>
      </c>
      <c r="B2516" s="18" t="str">
        <f ca="1">IFERROR(__xludf.DUMMYFUNCTION("GOOGLETRANSLATE(C6154,""en"",""hr"")"),"Ventil za smanjenje tlaka")</f>
        <v>Ventil za smanjenje tlaka</v>
      </c>
    </row>
    <row r="2517" spans="1:2" x14ac:dyDescent="0.2">
      <c r="A2517" s="21" t="s">
        <v>1785</v>
      </c>
      <c r="B2517" s="18" t="str">
        <f ca="1">IFERROR(__xludf.DUMMYFUNCTION("GOOGLETRANSLATE(C6186,""en"",""hr"")"),"Ventil za smanjenje tlaka - prednamješten na 425 bara")</f>
        <v>Ventil za smanjenje tlaka - prednamješten na 425 bara</v>
      </c>
    </row>
    <row r="2518" spans="1:2" x14ac:dyDescent="0.2">
      <c r="A2518" s="21" t="s">
        <v>1781</v>
      </c>
      <c r="B2518" s="18" t="str">
        <f ca="1">IFERROR(__xludf.DUMMYFUNCTION("GOOGLETRANSLATE(C6167,""en"",""hr"")"),"Ventil za smanjenje tlaka - prednamješten na 100 bara")</f>
        <v>Ventil za smanjenje tlaka - prednamješten na 100 bara</v>
      </c>
    </row>
    <row r="2519" spans="1:2" x14ac:dyDescent="0.2">
      <c r="A2519" s="21" t="s">
        <v>1780</v>
      </c>
      <c r="B2519" s="18" t="str">
        <f ca="1">IFERROR(__xludf.DUMMYFUNCTION("GOOGLETRANSLATE(C6166,""en"",""hr"")"),"Ventil za smanjenje tlaka - prednamješten na 28 bara")</f>
        <v>Ventil za smanjenje tlaka - prednamješten na 28 bara</v>
      </c>
    </row>
    <row r="2520" spans="1:2" x14ac:dyDescent="0.2">
      <c r="A2520" s="21" t="s">
        <v>1779</v>
      </c>
      <c r="B2520" s="18" t="str">
        <f ca="1">IFERROR(__xludf.DUMMYFUNCTION("GOOGLETRANSLATE(C6165,""en"",""hr"")"),"Ventil za smanjenje tlaka - prednamješten na 44 bara")</f>
        <v>Ventil za smanjenje tlaka - prednamješten na 44 bara</v>
      </c>
    </row>
    <row r="2521" spans="1:2" x14ac:dyDescent="0.2">
      <c r="A2521" s="21" t="s">
        <v>1782</v>
      </c>
      <c r="B2521" s="18" t="str">
        <f ca="1">IFERROR(__xludf.DUMMYFUNCTION("GOOGLETRANSLATE(C6168,""en"",""hr"")"),"Ventil za smanjenje tlaka - prednamješten na 63 bara")</f>
        <v>Ventil za smanjenje tlaka - prednamješten na 63 bara</v>
      </c>
    </row>
    <row r="2522" spans="1:2" x14ac:dyDescent="0.2">
      <c r="A2522" s="21" t="s">
        <v>1786</v>
      </c>
      <c r="B2522" s="18" t="str">
        <f ca="1">IFERROR(__xludf.DUMMYFUNCTION("GOOGLETRANSLATE(C6188,""en"",""hr"")"),"Ventil za smanjenje tlaka")</f>
        <v>Ventil za smanjenje tlaka</v>
      </c>
    </row>
    <row r="2523" spans="1:2" x14ac:dyDescent="0.2">
      <c r="A2523" s="21" t="s">
        <v>1761</v>
      </c>
      <c r="B2523" s="18" t="str">
        <f ca="1">IFERROR(__xludf.DUMMYFUNCTION("GOOGLETRANSLATE(C6127,""en"",""hr"")"),"Povratni ventil")</f>
        <v>Povratni ventil</v>
      </c>
    </row>
    <row r="2524" spans="1:2" x14ac:dyDescent="0.2">
      <c r="A2524" s="21" t="s">
        <v>350</v>
      </c>
      <c r="B2524" s="18" t="str">
        <f ca="1">IFERROR(__xludf.DUMMYFUNCTION("GOOGLETRANSLATE(C804,""en"",""hr"")"),"Ventil")</f>
        <v>Ventil</v>
      </c>
    </row>
    <row r="2525" spans="1:2" x14ac:dyDescent="0.2">
      <c r="A2525" s="21" t="s">
        <v>1755</v>
      </c>
      <c r="B2525" s="18" t="str">
        <f ca="1">IFERROR(__xludf.DUMMYFUNCTION("GOOGLETRANSLATE(C6119,""en"",""hr"")"),"Povratni ventil")</f>
        <v>Povratni ventil</v>
      </c>
    </row>
    <row r="2526" spans="1:2" x14ac:dyDescent="0.2">
      <c r="A2526" s="21" t="s">
        <v>1778</v>
      </c>
      <c r="B2526" s="18" t="str">
        <f ca="1">IFERROR(__xludf.DUMMYFUNCTION("GOOGLETRANSLATE(C6159,""en"",""hr"")"),"Ventil")</f>
        <v>Ventil</v>
      </c>
    </row>
    <row r="2527" spans="1:2" x14ac:dyDescent="0.2">
      <c r="A2527" s="21" t="s">
        <v>1783</v>
      </c>
      <c r="B2527" s="18" t="str">
        <f ca="1">IFERROR(__xludf.DUMMYFUNCTION("GOOGLETRANSLATE(C6174,""en"",""hr"")"),"Povratni ventil")</f>
        <v>Povratni ventil</v>
      </c>
    </row>
    <row r="2528" spans="1:2" x14ac:dyDescent="0.2">
      <c r="A2528" s="21" t="s">
        <v>1756</v>
      </c>
      <c r="B2528" s="18" t="str">
        <f ca="1">IFERROR(__xludf.DUMMYFUNCTION("GOOGLETRANSLATE(C6120,""en"",""hr"")"),"Ventil za kontrolu protoka")</f>
        <v>Ventil za kontrolu protoka</v>
      </c>
    </row>
    <row r="2529" spans="1:2" x14ac:dyDescent="0.2">
      <c r="A2529" s="21" t="s">
        <v>1747</v>
      </c>
      <c r="B2529" s="18" t="str">
        <f ca="1">IFERROR(__xludf.DUMMYFUNCTION("GOOGLETRANSLATE(C6109,""en"",""hr"")"),"Regulator tlaka")</f>
        <v>Regulator tlaka</v>
      </c>
    </row>
    <row r="2530" spans="1:2" x14ac:dyDescent="0.2">
      <c r="A2530" s="21" t="s">
        <v>1753</v>
      </c>
      <c r="B2530" s="18" t="str">
        <f ca="1">IFERROR(__xludf.DUMMYFUNCTION("GOOGLETRANSLATE(C6116,""en"",""hr"")"),"uložak")</f>
        <v>uložak</v>
      </c>
    </row>
    <row r="2531" spans="1:2" x14ac:dyDescent="0.2">
      <c r="A2531" s="21" t="s">
        <v>1744</v>
      </c>
      <c r="B2531" s="18" t="str">
        <f ca="1">IFERROR(__xludf.DUMMYFUNCTION("GOOGLETRANSLATE(C6106,""en"",""hr"")"),"Ventil")</f>
        <v>Ventil</v>
      </c>
    </row>
    <row r="2532" spans="1:2" x14ac:dyDescent="0.2">
      <c r="A2532" s="21" t="s">
        <v>970</v>
      </c>
      <c r="B2532" s="18" t="str">
        <f ca="1">IFERROR(__xludf.DUMMYFUNCTION("GOOGLETRANSLATE(C3086,""en"",""hr"")"),"Kut za uvrtanje")</f>
        <v>Kut za uvrtanje</v>
      </c>
    </row>
    <row r="2533" spans="1:2" x14ac:dyDescent="0.2">
      <c r="A2533" s="21" t="s">
        <v>1122</v>
      </c>
      <c r="B2533" s="18" t="str">
        <f ca="1">IFERROR(__xludf.DUMMYFUNCTION("GOOGLETRANSLATE(C3659,""en"",""hr"")"),"Kut za uvrtanje")</f>
        <v>Kut za uvrtanje</v>
      </c>
    </row>
    <row r="2534" spans="1:2" x14ac:dyDescent="0.2">
      <c r="A2534" s="21" t="s">
        <v>627</v>
      </c>
      <c r="B2534" s="18" t="str">
        <f ca="1">IFERROR(__xludf.DUMMYFUNCTION("GOOGLETRANSLATE(C1936,""en"",""hr"")"),"Kut")</f>
        <v>Kut</v>
      </c>
    </row>
    <row r="2535" spans="1:2" x14ac:dyDescent="0.2">
      <c r="A2535" s="21" t="s">
        <v>533</v>
      </c>
      <c r="B2535" s="18" t="str">
        <f ca="1">IFERROR(__xludf.DUMMYFUNCTION("GOOGLETRANSLATE(C1392,""en"",""hr"")"),"Kut")</f>
        <v>Kut</v>
      </c>
    </row>
    <row r="2536" spans="1:2" x14ac:dyDescent="0.2">
      <c r="A2536" s="21" t="s">
        <v>714</v>
      </c>
      <c r="B2536" s="18" t="str">
        <f ca="1">IFERROR(__xludf.DUMMYFUNCTION("GOOGLETRANSLATE(C2253,""en"",""hr"")"),"T-utični spoj")</f>
        <v>T-utični spoj</v>
      </c>
    </row>
    <row r="2537" spans="1:2" x14ac:dyDescent="0.2">
      <c r="A2537" s="21" t="s">
        <v>1064</v>
      </c>
      <c r="B2537" s="18" t="str">
        <f ca="1">IFERROR(__xludf.DUMMYFUNCTION("GOOGLETRANSLATE(C3462,""en"",""hr"")"),"T-Lancing veza")</f>
        <v>T-Lancing veza</v>
      </c>
    </row>
    <row r="2538" spans="1:2" x14ac:dyDescent="0.2">
      <c r="A2538" s="21" t="s">
        <v>986</v>
      </c>
      <c r="B2538" s="18" t="str">
        <f ca="1">IFERROR(__xludf.DUMMYFUNCTION("GOOGLETRANSLATE(C3148,""en"",""hr"")"),"T-utični spoj")</f>
        <v>T-utični spoj</v>
      </c>
    </row>
    <row r="2539" spans="1:2" x14ac:dyDescent="0.2">
      <c r="A2539" s="21" t="s">
        <v>960</v>
      </c>
      <c r="B2539" s="18" t="str">
        <f ca="1">IFERROR(__xludf.DUMMYFUNCTION("GOOGLETRANSLATE(C3053,""en"",""hr"")"),"Utični spoj")</f>
        <v>Utični spoj</v>
      </c>
    </row>
    <row r="2540" spans="1:2" x14ac:dyDescent="0.2">
      <c r="A2540" s="21" t="s">
        <v>628</v>
      </c>
      <c r="B2540" s="18" t="str">
        <f ca="1">IFERROR(__xludf.DUMMYFUNCTION("GOOGLETRANSLATE(C1937,""en"",""hr"")"),"Pregradni utični spoj")</f>
        <v>Pregradni utični spoj</v>
      </c>
    </row>
    <row r="2541" spans="1:2" x14ac:dyDescent="0.2">
      <c r="A2541" s="21" t="s">
        <v>1065</v>
      </c>
      <c r="B2541" s="18" t="str">
        <f ca="1">IFERROR(__xludf.DUMMYFUNCTION("GOOGLETRANSLATE(C3463,""en"",""hr"")"),"Pregradni utični spoj")</f>
        <v>Pregradni utični spoj</v>
      </c>
    </row>
    <row r="2542" spans="1:2" x14ac:dyDescent="0.2">
      <c r="A2542" s="21" t="s">
        <v>1062</v>
      </c>
      <c r="B2542" s="18" t="str">
        <f ca="1">IFERROR(__xludf.DUMMYFUNCTION("GOOGLETRANSLATE(C3457,""en"",""hr"")"),"Utikač")</f>
        <v>Utikač</v>
      </c>
    </row>
    <row r="2543" spans="1:2" x14ac:dyDescent="0.2">
      <c r="A2543" s="21" t="s">
        <v>1006</v>
      </c>
      <c r="B2543" s="18" t="str">
        <f ca="1">IFERROR(__xludf.DUMMYFUNCTION("GOOGLETRANSLATE(C3205,""en"",""hr"")"),"Ravna utična spojnica")</f>
        <v>Ravna utična spojnica</v>
      </c>
    </row>
    <row r="2544" spans="1:2" x14ac:dyDescent="0.2">
      <c r="A2544" s="21" t="s">
        <v>1061</v>
      </c>
      <c r="B2544" s="18" t="str">
        <f ca="1">IFERROR(__xludf.DUMMYFUNCTION("GOOGLETRANSLATE(C3456,""en"",""hr"")"),"Traka za utičnicu")</f>
        <v>Traka za utičnicu</v>
      </c>
    </row>
    <row r="2545" spans="1:2" x14ac:dyDescent="0.2">
      <c r="A2545" s="21" t="s">
        <v>534</v>
      </c>
      <c r="B2545" s="18" t="str">
        <f ca="1">IFERROR(__xludf.DUMMYFUNCTION("GOOGLETRANSLATE(C1393,""en"",""hr"")"),"Crijevo po metru")</f>
        <v>Crijevo po metru</v>
      </c>
    </row>
    <row r="2546" spans="1:2" x14ac:dyDescent="0.2">
      <c r="A2546" s="21" t="s">
        <v>530</v>
      </c>
      <c r="B2546" s="18" t="str">
        <f ca="1">IFERROR(__xludf.DUMMYFUNCTION("GOOGLETRANSLATE(C1381,""en"",""hr"")"),"Cijev po metru")</f>
        <v>Cijev po metru</v>
      </c>
    </row>
    <row r="2547" spans="1:2" x14ac:dyDescent="0.2">
      <c r="A2547" s="21" t="s">
        <v>531</v>
      </c>
      <c r="B2547" s="18" t="str">
        <f ca="1">IFERROR(__xludf.DUMMYFUNCTION("GOOGLETRANSLATE(C1382,""en"",""hr"")"),"Cijev po metru")</f>
        <v>Cijev po metru</v>
      </c>
    </row>
    <row r="2548" spans="1:2" x14ac:dyDescent="0.2">
      <c r="A2548" s="21" t="s">
        <v>1234</v>
      </c>
      <c r="B2548" s="18" t="str">
        <f ca="1">IFERROR(__xludf.DUMMYFUNCTION("GOOGLETRANSLATE(C3922,""en"",""hr"")"),"Link")</f>
        <v>Link</v>
      </c>
    </row>
    <row r="2549" spans="1:2" x14ac:dyDescent="0.2">
      <c r="A2549" s="21" t="s">
        <v>971</v>
      </c>
      <c r="B2549" s="18" t="str">
        <f ca="1">IFERROR(__xludf.DUMMYFUNCTION("GOOGLETRANSLATE(C3087,""en"",""hr"")"),"Redukcijski rukavac")</f>
        <v>Redukcijski rukavac</v>
      </c>
    </row>
    <row r="2550" spans="1:2" x14ac:dyDescent="0.2">
      <c r="A2550" s="21" t="s">
        <v>1472</v>
      </c>
      <c r="B2550" s="18" t="str">
        <f ca="1">IFERROR(__xludf.DUMMYFUNCTION("GOOGLETRANSLATE(C4937,""en"",""hr"")"),"Slijepa zakovica")</f>
        <v>Slijepa zakovica</v>
      </c>
    </row>
    <row r="2551" spans="1:2" x14ac:dyDescent="0.2">
      <c r="A2551" s="21" t="s">
        <v>1584</v>
      </c>
      <c r="B2551" s="18" t="str">
        <f ca="1">IFERROR(__xludf.DUMMYFUNCTION("GOOGLETRANSLATE(C5359,""en"",""hr"")"),"Slijepa zakovica")</f>
        <v>Slijepa zakovica</v>
      </c>
    </row>
    <row r="2552" spans="1:2" x14ac:dyDescent="0.2">
      <c r="A2552" s="21" t="s">
        <v>1221</v>
      </c>
      <c r="B2552" s="18" t="str">
        <f ca="1">IFERROR(__xludf.DUMMYFUNCTION("GOOGLETRANSLATE(C3862,""en"",""hr"")"),"Slijepa zakovica")</f>
        <v>Slijepa zakovica</v>
      </c>
    </row>
    <row r="2553" spans="1:2" x14ac:dyDescent="0.2">
      <c r="A2553" s="21" t="s">
        <v>1522</v>
      </c>
      <c r="B2553" s="18" t="str">
        <f ca="1">IFERROR(__xludf.DUMMYFUNCTION("GOOGLETRANSLATE(C5161,""en"",""hr"")"),"Slijepa zakovica")</f>
        <v>Slijepa zakovica</v>
      </c>
    </row>
    <row r="2554" spans="1:2" x14ac:dyDescent="0.2">
      <c r="A2554" s="21" t="s">
        <v>1400</v>
      </c>
      <c r="B2554" s="18" t="str">
        <f ca="1">IFERROR(__xludf.DUMMYFUNCTION("GOOGLETRANSLATE(C4537,""en"",""hr"")"),"Slijepa zakovica")</f>
        <v>Slijepa zakovica</v>
      </c>
    </row>
    <row r="2555" spans="1:2" x14ac:dyDescent="0.2">
      <c r="A2555" s="21" t="s">
        <v>2017</v>
      </c>
      <c r="B2555" s="18" t="str">
        <f ca="1">IFERROR(__xludf.DUMMYFUNCTION("GOOGLETRANSLATE(C6824,""en"",""hr"")"),"Slijepa zakovica")</f>
        <v>Slijepa zakovica</v>
      </c>
    </row>
    <row r="2556" spans="1:2" x14ac:dyDescent="0.2">
      <c r="A2556" s="21" t="s">
        <v>1244</v>
      </c>
      <c r="B2556" s="18" t="str">
        <f ca="1">IFERROR(__xludf.DUMMYFUNCTION("GOOGLETRANSLATE(C3950,""en"",""hr"")"),"Vijčani spoj crijeva")</f>
        <v>Vijčani spoj crijeva</v>
      </c>
    </row>
    <row r="2557" spans="1:2" x14ac:dyDescent="0.2">
      <c r="A2557" s="21" t="s">
        <v>1311</v>
      </c>
      <c r="B2557" s="18" t="str">
        <f ca="1">IFERROR(__xludf.DUMMYFUNCTION("GOOGLETRANSLATE(C4138,""en"",""hr"")"),"Vijčani spoj crijeva")</f>
        <v>Vijčani spoj crijeva</v>
      </c>
    </row>
    <row r="2558" spans="1:2" x14ac:dyDescent="0.2">
      <c r="A2558" s="21" t="s">
        <v>1121</v>
      </c>
      <c r="B2558" s="18" t="str">
        <f ca="1">IFERROR(__xludf.DUMMYFUNCTION("GOOGLETRANSLATE(C3656,""en"",""hr"")"),"Dvostruka bradavica")</f>
        <v>Dvostruka bradavica</v>
      </c>
    </row>
    <row r="2559" spans="1:2" x14ac:dyDescent="0.2">
      <c r="A2559" s="21" t="s">
        <v>626</v>
      </c>
      <c r="B2559" s="18" t="str">
        <f ca="1">IFERROR(__xludf.DUMMYFUNCTION("GOOGLETRANSLATE(C1935,""en"",""hr"")"),"Crijevo po metru")</f>
        <v>Crijevo po metru</v>
      </c>
    </row>
    <row r="2560" spans="1:2" x14ac:dyDescent="0.2">
      <c r="A2560" s="21" t="s">
        <v>372</v>
      </c>
      <c r="B2560" s="18" t="str">
        <f ca="1">IFERROR(__xludf.DUMMYFUNCTION("GOOGLETRANSLATE(C845,""en"",""hr"")"),"Uvrtni spoj")</f>
        <v>Uvrtni spoj</v>
      </c>
    </row>
    <row r="2561" spans="1:2" x14ac:dyDescent="0.2">
      <c r="A2561" s="21" t="s">
        <v>371</v>
      </c>
      <c r="B2561" s="18" t="str">
        <f ca="1">IFERROR(__xludf.DUMMYFUNCTION("GOOGLETRANSLATE(C844,""en"",""hr"")"),"Uvrtni spoj")</f>
        <v>Uvrtni spoj</v>
      </c>
    </row>
    <row r="2562" spans="1:2" x14ac:dyDescent="0.2">
      <c r="A2562" s="21" t="s">
        <v>351</v>
      </c>
      <c r="B2562" s="18" t="str">
        <f ca="1">IFERROR(__xludf.DUMMYFUNCTION("GOOGLETRANSLATE(C805,""en"",""hr"")"),"Veza")</f>
        <v>Veza</v>
      </c>
    </row>
    <row r="2563" spans="1:2" x14ac:dyDescent="0.2">
      <c r="A2563" s="21" t="s">
        <v>363</v>
      </c>
      <c r="B2563" s="18" t="str">
        <f ca="1">IFERROR(__xludf.DUMMYFUNCTION("GOOGLETRANSLATE(C821,""en"",""hr"")"),"Uvrtna bradavica")</f>
        <v>Uvrtna bradavica</v>
      </c>
    </row>
    <row r="2564" spans="1:2" x14ac:dyDescent="0.2">
      <c r="A2564" s="21" t="s">
        <v>373</v>
      </c>
      <c r="B2564" s="18" t="str">
        <f ca="1">IFERROR(__xludf.DUMMYFUNCTION("GOOGLETRANSLATE(C847,""en"",""hr"")"),"Uvrtna bradavica")</f>
        <v>Uvrtna bradavica</v>
      </c>
    </row>
    <row r="2565" spans="1:2" x14ac:dyDescent="0.2">
      <c r="A2565" s="21" t="s">
        <v>364</v>
      </c>
      <c r="B2565" s="18" t="str">
        <f ca="1">IFERROR(__xludf.DUMMYFUNCTION("GOOGLETRANSLATE(C822,""en"",""hr"")"),"Čahura")</f>
        <v>Čahura</v>
      </c>
    </row>
    <row r="2566" spans="1:2" x14ac:dyDescent="0.2">
      <c r="A2566" s="21" t="s">
        <v>131</v>
      </c>
      <c r="B2566" s="18" t="str">
        <f ca="1">IFERROR(__xludf.DUMMYFUNCTION("GOOGLETRANSLATE(C267,""en"",""hr"")"),"Komplet potrošnih dijelova usisni sustav CC21")</f>
        <v>Komplet potrošnih dijelova usisni sustav CC21</v>
      </c>
    </row>
    <row r="2567" spans="1:2" x14ac:dyDescent="0.2">
      <c r="A2567" s="21" t="s">
        <v>132</v>
      </c>
      <c r="B2567" s="18" t="str">
        <f ca="1">IFERROR(__xludf.DUMMYFUNCTION("GOOGLETRANSLATE(C268,""en"",""hr"")"),"Komplet potrošnih dijelova usisni sustav CC21 mali")</f>
        <v>Komplet potrošnih dijelova usisni sustav CC21 mali</v>
      </c>
    </row>
    <row r="2568" spans="1:2" x14ac:dyDescent="0.2">
      <c r="A2568" s="21" t="s">
        <v>139</v>
      </c>
      <c r="B2568" s="18" t="str">
        <f ca="1">IFERROR(__xludf.DUMMYFUNCTION("GOOGLETRANSLATE(C275,""en"",""hr"")"),"Servisni kit CityCat V20 EU6D / 500 sati")</f>
        <v>Servisni kit CityCat V20 EU6D / 500 sati</v>
      </c>
    </row>
    <row r="2569" spans="1:2" x14ac:dyDescent="0.2">
      <c r="A2569" s="21" t="s">
        <v>140</v>
      </c>
      <c r="B2569" s="18" t="str">
        <f ca="1">IFERROR(__xludf.DUMMYFUNCTION("GOOGLETRANSLATE(C276,""en"",""hr"")"),"Servisni kit CityCat V20 EU6D / 1000 sati (5 utora; do br. motora:&lt;br&gt;60D/21227)")</f>
        <v>Servisni kit CityCat V20 EU6D / 1000 sati (5 utora; do br. motora:&lt;br&gt;60D/21227)</v>
      </c>
    </row>
    <row r="2570" spans="1:2" x14ac:dyDescent="0.2">
      <c r="A2570" s="21" t="s">
        <v>142</v>
      </c>
      <c r="B2570" s="18" t="str">
        <f ca="1">IFERROR(__xludf.DUMMYFUNCTION("GOOGLETRANSLATE(C278,""en"",""hr"")"),"Servisni kit CityCat V20 EU6D / 1500 sati")</f>
        <v>Servisni kit CityCat V20 EU6D / 1500 sati</v>
      </c>
    </row>
    <row r="2571" spans="1:2" x14ac:dyDescent="0.2">
      <c r="A2571" s="21" t="s">
        <v>143</v>
      </c>
      <c r="B2571" s="18" t="str">
        <f ca="1">IFERROR(__xludf.DUMMYFUNCTION("GOOGLETRANSLATE(C279,""en"",""hr"")"),"Servisni kit CityCat V20 EU6D / 2000 sati (5 utora; do br. motora:&lt;br&gt;60D/21227)")</f>
        <v>Servisni kit CityCat V20 EU6D / 2000 sati (5 utora; do br. motora:&lt;br&gt;60D/21227)</v>
      </c>
    </row>
    <row r="2572" spans="1:2" x14ac:dyDescent="0.2">
      <c r="A2572" s="21" t="s">
        <v>134</v>
      </c>
      <c r="B2572" s="18" t="str">
        <f ca="1">IFERROR(__xludf.DUMMYFUNCTION("GOOGLETRANSLATE(C270,""en"",""hr"")"),"Servisni kit CC21 električna verzija 1000 sati, (RGB1)")</f>
        <v>Servisni kit CC21 električna verzija 1000 sati, (RGB1)</v>
      </c>
    </row>
    <row r="2573" spans="1:2" x14ac:dyDescent="0.2">
      <c r="A2573" s="21" t="s">
        <v>133</v>
      </c>
      <c r="B2573" s="18" t="str">
        <f ca="1">IFERROR(__xludf.DUMMYFUNCTION("GOOGLETRANSLATE(C269,""en"",""hr"")"),"Servisni set CC21 A/C")</f>
        <v>Servisni set CC21 A/C</v>
      </c>
    </row>
    <row r="2574" spans="1:2" x14ac:dyDescent="0.2">
      <c r="A2574" s="21" t="s">
        <v>135</v>
      </c>
      <c r="B2574" s="18" t="str">
        <f ca="1">IFERROR(__xludf.DUMMYFUNCTION("GOOGLETRANSLATE(C271,""en"",""hr"")"),"Servisni kit CC21 električna verzija 1000 sati, (RGB2)")</f>
        <v>Servisni kit CC21 električna verzija 1000 sati, (RGB2)</v>
      </c>
    </row>
    <row r="2575" spans="1:2" x14ac:dyDescent="0.2">
      <c r="A2575" s="21" t="s">
        <v>136</v>
      </c>
      <c r="B2575" s="18" t="str">
        <f ca="1">IFERROR(__xludf.DUMMYFUNCTION("GOOGLETRANSLATE(C272,""en"",""hr"")"),"Servisni kit CC21 Stage V / IIIA - 500 sati")</f>
        <v>Servisni kit CC21 Stage V / IIIA - 500 sati</v>
      </c>
    </row>
    <row r="2576" spans="1:2" x14ac:dyDescent="0.2">
      <c r="A2576" s="21" t="s">
        <v>137</v>
      </c>
      <c r="B2576" s="18" t="str">
        <f ca="1">IFERROR(__xludf.DUMMYFUNCTION("GOOGLETRANSLATE(C273,""en"",""hr"")"),"Servisni kit CC21 Stage V / IIIA - 1000 sati")</f>
        <v>Servisni kit CC21 Stage V / IIIA - 1000 sati</v>
      </c>
    </row>
    <row r="2577" spans="1:2" x14ac:dyDescent="0.2">
      <c r="A2577" s="21" t="s">
        <v>138</v>
      </c>
      <c r="B2577" s="18" t="str">
        <f ca="1">IFERROR(__xludf.DUMMYFUNCTION("GOOGLETRANSLATE(C274,""en"",""hr"")"),"Servisni kit CC21 Stage V / IIIA - 2000 sati")</f>
        <v>Servisni kit CC21 Stage V / IIIA - 2000 sati</v>
      </c>
    </row>
    <row r="2578" spans="1:2" x14ac:dyDescent="0.2">
      <c r="A2578" s="21" t="s">
        <v>141</v>
      </c>
      <c r="B2578" s="18" t="str">
        <f ca="1">IFERROR(__xludf.DUMMYFUNCTION("GOOGLETRANSLATE(C277,""en"",""hr"")"),"Servisni kit CityCat V20 EU6D / 1000 sati (6 utora; od br. motora:&lt;br&gt;60D/21228)")</f>
        <v>Servisni kit CityCat V20 EU6D / 1000 sati (6 utora; od br. motora:&lt;br&gt;60D/21228)</v>
      </c>
    </row>
    <row r="2579" spans="1:2" x14ac:dyDescent="0.2">
      <c r="A2579" s="21" t="s">
        <v>144</v>
      </c>
      <c r="B2579" s="18" t="str">
        <f ca="1">IFERROR(__xludf.DUMMYFUNCTION("GOOGLETRANSLATE(C280,""en"",""hr"")"),"Servisni kit CityCat V20 EU6D / 2000 sati (6 utora; od br. motora:&lt;br&gt;60D/21228)")</f>
        <v>Servisni kit CityCat V20 EU6D / 2000 sati (6 utora; od br. motora:&lt;br&gt;60D/21228)</v>
      </c>
    </row>
    <row r="2580" spans="1:2" x14ac:dyDescent="0.2">
      <c r="A2580" s="21" t="s">
        <v>1351</v>
      </c>
      <c r="B2580" s="18" t="str">
        <f ca="1">IFERROR(__xludf.DUMMYFUNCTION("GOOGLETRANSLATE(C4282,""en"",""hr"")"),"Lančana zavjesa kpl.")</f>
        <v>Lančana zavjesa kpl.</v>
      </c>
    </row>
    <row r="2581" spans="1:2" x14ac:dyDescent="0.2">
      <c r="A2581" s="21" t="s">
        <v>1350</v>
      </c>
      <c r="B2581" s="18" t="str">
        <f ca="1">IFERROR(__xludf.DUMMYFUNCTION("GOOGLETRANSLATE(C4279,""en"",""hr"")"),"Deflektor cpl., ojačan")</f>
        <v>Deflektor cpl., ojačan</v>
      </c>
    </row>
    <row r="2582" spans="1:2" x14ac:dyDescent="0.2">
      <c r="A2582" s="21" t="s">
        <v>1457</v>
      </c>
      <c r="B2582" s="18" t="str">
        <f ca="1">IFERROR(__xludf.DUMMYFUNCTION("GOOGLETRANSLATE(C4775,""en"",""hr"")"),"Komplet za preinaku prekidač KGB CC21")</f>
        <v>Komplet za preinaku prekidač KGB CC21</v>
      </c>
    </row>
    <row r="2583" spans="1:2" x14ac:dyDescent="0.2">
      <c r="A2583" s="21" t="s">
        <v>556</v>
      </c>
      <c r="B2583" s="18" t="str">
        <f ca="1">IFERROR(__xludf.DUMMYFUNCTION("GOOGLETRANSLATE(C1523,""en"",""hr"")"),"Klimakompressor")</f>
        <v>Klimakompressor</v>
      </c>
    </row>
    <row r="2584" spans="1:2" x14ac:dyDescent="0.2">
      <c r="A2584" s="21" t="s">
        <v>1654</v>
      </c>
      <c r="B2584" s="18" t="str">
        <f ca="1">IFERROR(__xludf.DUMMYFUNCTION("GOOGLETRANSLATE(C5630,""en"",""hr"")"),"Kompresor klime")</f>
        <v>Kompresor klime</v>
      </c>
    </row>
    <row r="2585" spans="1:2" x14ac:dyDescent="0.2">
      <c r="A2585" s="21" t="s">
        <v>1114</v>
      </c>
      <c r="B2585" s="18" t="str">
        <f ca="1">IFERROR(__xludf.DUMMYFUNCTION("GOOGLETRANSLATE(C3602,""en"",""hr"")"),"Odvod vode cmpl.")</f>
        <v>Odvod vode cmpl.</v>
      </c>
    </row>
    <row r="2586" spans="1:2" x14ac:dyDescent="0.2">
      <c r="A2586" s="21" t="s">
        <v>641</v>
      </c>
      <c r="B2586" s="18" t="str">
        <f ca="1">IFERROR(__xludf.DUMMYFUNCTION("GOOGLETRANSLATE(C1981,""en"",""hr"")"),"Prirubnica kpl.")</f>
        <v>Prirubnica kpl.</v>
      </c>
    </row>
    <row r="2587" spans="1:2" x14ac:dyDescent="0.2">
      <c r="A2587" s="21" t="s">
        <v>328</v>
      </c>
      <c r="B2587" s="18" t="str">
        <f ca="1">IFERROR(__xludf.DUMMYFUNCTION("GOOGLETRANSLATE(C744,""en"",""hr"")"),"Set za popravak")</f>
        <v>Set za popravak</v>
      </c>
    </row>
    <row r="2588" spans="1:2" x14ac:dyDescent="0.2">
      <c r="A2588" s="21" t="s">
        <v>329</v>
      </c>
      <c r="B2588" s="18" t="str">
        <f ca="1">IFERROR(__xludf.DUMMYFUNCTION("GOOGLETRANSLATE(C745,""en"",""hr"")"),"Set za popravak")</f>
        <v>Set za popravak</v>
      </c>
    </row>
    <row r="2589" spans="1:2" x14ac:dyDescent="0.2">
      <c r="A2589" s="21" t="s">
        <v>344</v>
      </c>
      <c r="B2589" s="18" t="str">
        <f ca="1">IFERROR(__xludf.DUMMYFUNCTION("GOOGLETRANSLATE(C772,""en"",""hr"")"),"Set za popravak")</f>
        <v>Set za popravak</v>
      </c>
    </row>
    <row r="2590" spans="1:2" x14ac:dyDescent="0.2">
      <c r="A2590" s="21" t="s">
        <v>1643</v>
      </c>
      <c r="B2590" s="18" t="str">
        <f ca="1">IFERROR(__xludf.DUMMYFUNCTION("GOOGLETRANSLATE(C5549,""en"",""hr"")"),"Komplet ventila")</f>
        <v>Komplet ventila</v>
      </c>
    </row>
    <row r="2591" spans="1:2" x14ac:dyDescent="0.2">
      <c r="A2591" s="21" t="s">
        <v>1644</v>
      </c>
      <c r="B2591" s="18" t="str">
        <f ca="1">IFERROR(__xludf.DUMMYFUNCTION("GOOGLETRANSLATE(C5552,""en"",""hr"")"),"Komplet brtvi za izmjenjivač topline")</f>
        <v>Komplet brtvi za izmjenjivač topline</v>
      </c>
    </row>
    <row r="2592" spans="1:2" x14ac:dyDescent="0.2">
      <c r="A2592" s="21" t="s">
        <v>555</v>
      </c>
      <c r="B2592" s="18" t="str">
        <f ca="1">IFERROR(__xludf.DUMMYFUNCTION("GOOGLETRANSLATE(C1521,""en"",""hr"")"),"Pokretač")</f>
        <v>Pokretač</v>
      </c>
    </row>
    <row r="2593" spans="1:2" x14ac:dyDescent="0.2">
      <c r="A2593" s="21" t="s">
        <v>1602</v>
      </c>
      <c r="B2593" s="18" t="str">
        <f ca="1">IFERROR(__xludf.DUMMYFUNCTION("GOOGLETRANSLATE(C5442,""en"",""hr"")"),"Vijak")</f>
        <v>Vijak</v>
      </c>
    </row>
    <row r="2594" spans="1:2" x14ac:dyDescent="0.2">
      <c r="A2594" s="21" t="s">
        <v>1153</v>
      </c>
      <c r="B2594" s="18" t="str">
        <f ca="1">IFERROR(__xludf.DUMMYFUNCTION("GOOGLETRANSLATE(C3751,""en"",""hr"")"),"Vijak")</f>
        <v>Vijak</v>
      </c>
    </row>
    <row r="2595" spans="1:2" x14ac:dyDescent="0.2">
      <c r="A2595" s="21" t="s">
        <v>1729</v>
      </c>
      <c r="B2595" s="18" t="str">
        <f ca="1">IFERROR(__xludf.DUMMYFUNCTION("GOOGLETRANSLATE(C6009,""en"",""hr"")"),"Vijak")</f>
        <v>Vijak</v>
      </c>
    </row>
    <row r="2596" spans="1:2" x14ac:dyDescent="0.2">
      <c r="A2596" s="21" t="s">
        <v>1526</v>
      </c>
      <c r="B2596" s="18" t="str">
        <f ca="1">IFERROR(__xludf.DUMMYFUNCTION("GOOGLETRANSLATE(C5171,""en"",""hr"")"),"Vijak s poklopcem")</f>
        <v>Vijak s poklopcem</v>
      </c>
    </row>
    <row r="2597" spans="1:2" x14ac:dyDescent="0.2">
      <c r="A2597" s="21" t="s">
        <v>1028</v>
      </c>
      <c r="B2597" s="18" t="str">
        <f ca="1">IFERROR(__xludf.DUMMYFUNCTION("GOOGLETRANSLATE(C3339,""en"",""hr"")"),"imbus vijak")</f>
        <v>imbus vijak</v>
      </c>
    </row>
    <row r="2598" spans="1:2" x14ac:dyDescent="0.2">
      <c r="A2598" s="21" t="s">
        <v>1518</v>
      </c>
      <c r="B2598" s="18" t="str">
        <f ca="1">IFERROR(__xludf.DUMMYFUNCTION("GOOGLETRANSLATE(C5154,""en"",""hr"")"),"Upušteni vijak")</f>
        <v>Upušteni vijak</v>
      </c>
    </row>
    <row r="2599" spans="1:2" x14ac:dyDescent="0.2">
      <c r="A2599" s="21" t="s">
        <v>1482</v>
      </c>
      <c r="B2599" s="18" t="str">
        <f ca="1">IFERROR(__xludf.DUMMYFUNCTION("GOOGLETRANSLATE(C4970,""en"",""hr"")"),"Vijak s podignutom sirnom glavom")</f>
        <v>Vijak s podignutom sirnom glavom</v>
      </c>
    </row>
    <row r="2600" spans="1:2" x14ac:dyDescent="0.2">
      <c r="A2600" s="21" t="s">
        <v>1530</v>
      </c>
      <c r="B2600" s="18" t="str">
        <f ca="1">IFERROR(__xludf.DUMMYFUNCTION("GOOGLETRANSLATE(C5181,""en"",""hr"")"),"Vijak")</f>
        <v>Vijak</v>
      </c>
    </row>
    <row r="2601" spans="1:2" x14ac:dyDescent="0.2">
      <c r="A2601" s="21" t="s">
        <v>1557</v>
      </c>
      <c r="B2601" s="18" t="str">
        <f ca="1">IFERROR(__xludf.DUMMYFUNCTION("GOOGLETRANSLATE(C5303,""en"",""hr"")"),"Vijak s podignutom sirnom glavom")</f>
        <v>Vijak s podignutom sirnom glavom</v>
      </c>
    </row>
    <row r="2602" spans="1:2" x14ac:dyDescent="0.2">
      <c r="A2602" s="21" t="s">
        <v>1829</v>
      </c>
      <c r="B2602" s="18" t="str">
        <f ca="1">IFERROR(__xludf.DUMMYFUNCTION("GOOGLETRANSLATE(C6387,""en"",""hr"")"),"Vijak s podignutom sirnom glavom")</f>
        <v>Vijak s podignutom sirnom glavom</v>
      </c>
    </row>
    <row r="2603" spans="1:2" x14ac:dyDescent="0.2">
      <c r="A2603" s="21" t="s">
        <v>454</v>
      </c>
      <c r="B2603" s="18" t="str">
        <f ca="1">IFERROR(__xludf.DUMMYFUNCTION("GOOGLETRANSLATE(C1100,""en"",""hr"")"),"Vijak")</f>
        <v>Vijak</v>
      </c>
    </row>
    <row r="2604" spans="1:2" x14ac:dyDescent="0.2">
      <c r="A2604" s="21" t="s">
        <v>1477</v>
      </c>
      <c r="B2604" s="18" t="str">
        <f ca="1">IFERROR(__xludf.DUMMYFUNCTION("GOOGLETRANSLATE(C4962,""en"",""hr"")"),"Vijak")</f>
        <v>Vijak</v>
      </c>
    </row>
    <row r="2605" spans="1:2" x14ac:dyDescent="0.2">
      <c r="A2605" s="21" t="s">
        <v>447</v>
      </c>
      <c r="B2605" s="18" t="str">
        <f ca="1">IFERROR(__xludf.DUMMYFUNCTION("GOOGLETRANSLATE(C1072,""en"",""hr"")"),"Vijak s podignutom sirnom glavom")</f>
        <v>Vijak s podignutom sirnom glavom</v>
      </c>
    </row>
    <row r="2606" spans="1:2" x14ac:dyDescent="0.2">
      <c r="A2606" s="21" t="s">
        <v>1801</v>
      </c>
      <c r="B2606" s="18" t="str">
        <f ca="1">IFERROR(__xludf.DUMMYFUNCTION("GOOGLETRANSLATE(C6320,""en"",""hr"")"),"imbus vijak")</f>
        <v>imbus vijak</v>
      </c>
    </row>
    <row r="2607" spans="1:2" x14ac:dyDescent="0.2">
      <c r="A2607" s="21" t="s">
        <v>1802</v>
      </c>
      <c r="B2607" s="18" t="str">
        <f ca="1">IFERROR(__xludf.DUMMYFUNCTION("GOOGLETRANSLATE(C6321,""en"",""hr"")"),"imbus vijak")</f>
        <v>imbus vijak</v>
      </c>
    </row>
    <row r="2608" spans="1:2" x14ac:dyDescent="0.2">
      <c r="A2608" s="21" t="s">
        <v>983</v>
      </c>
      <c r="B2608" s="18" t="str">
        <f ca="1">IFERROR(__xludf.DUMMYFUNCTION("GOOGLETRANSLATE(C3137,""en"",""hr"")"),"Upušteni vijak")</f>
        <v>Upušteni vijak</v>
      </c>
    </row>
    <row r="2609" spans="1:2" x14ac:dyDescent="0.2">
      <c r="A2609" s="21" t="s">
        <v>1230</v>
      </c>
      <c r="B2609" s="18" t="str">
        <f ca="1">IFERROR(__xludf.DUMMYFUNCTION("GOOGLETRANSLATE(C3918,""en"",""hr"")"),"Kuglasti ventil")</f>
        <v>Kuglasti ventil</v>
      </c>
    </row>
    <row r="2610" spans="1:2" x14ac:dyDescent="0.2">
      <c r="A2610" s="21" t="s">
        <v>1900</v>
      </c>
      <c r="B2610" s="18" t="str">
        <f ca="1">IFERROR(__xludf.DUMMYFUNCTION("GOOGLETRANSLATE(C6630,""en"",""hr"")"),"Pištolj za podmazivanje")</f>
        <v>Pištolj za podmazivanje</v>
      </c>
    </row>
    <row r="2611" spans="1:2" x14ac:dyDescent="0.2">
      <c r="A2611" s="21" t="s">
        <v>847</v>
      </c>
      <c r="B2611" s="18" t="str">
        <f ca="1">IFERROR(__xludf.DUMMYFUNCTION("GOOGLETRANSLATE(C2510,""en"",""hr"")"),"mijehovi")</f>
        <v>mijehovi</v>
      </c>
    </row>
    <row r="2612" spans="1:2" x14ac:dyDescent="0.2">
      <c r="A2612" s="21" t="s">
        <v>845</v>
      </c>
      <c r="B2612" s="18" t="str">
        <f ca="1">IFERROR(__xludf.DUMMYFUNCTION("GOOGLETRANSLATE(C2508,""en"",""hr"")"),"Štitnik cijevi")</f>
        <v>Štitnik cijevi</v>
      </c>
    </row>
    <row r="2613" spans="1:2" x14ac:dyDescent="0.2">
      <c r="A2613" s="21" t="s">
        <v>777</v>
      </c>
      <c r="B2613" s="18" t="str">
        <f ca="1">IFERROR(__xludf.DUMMYFUNCTION("GOOGLETRANSLATE(C2406,""en"",""hr"")"),"Čahura ležaja")</f>
        <v>Čahura ležaja</v>
      </c>
    </row>
    <row r="2614" spans="1:2" x14ac:dyDescent="0.2">
      <c r="A2614" s="21" t="s">
        <v>838</v>
      </c>
      <c r="B2614" s="18" t="str">
        <f ca="1">IFERROR(__xludf.DUMMYFUNCTION("GOOGLETRANSLATE(C2501,""en"",""hr"")"),"Vratilo")</f>
        <v>Vratilo</v>
      </c>
    </row>
    <row r="2615" spans="1:2" x14ac:dyDescent="0.2">
      <c r="A2615" s="21" t="s">
        <v>1333</v>
      </c>
      <c r="B2615" s="18" t="str">
        <f ca="1">IFERROR(__xludf.DUMMYFUNCTION("GOOGLETRANSLATE(C4199,""en"",""hr"")"),"Stezaljka za alat")</f>
        <v>Stezaljka za alat</v>
      </c>
    </row>
    <row r="2616" spans="1:2" x14ac:dyDescent="0.2">
      <c r="A2616" s="21" t="s">
        <v>835</v>
      </c>
      <c r="B2616" s="18" t="str">
        <f ca="1">IFERROR(__xludf.DUMMYFUNCTION("GOOGLETRANSLATE(C2498,""en"",""hr"")"),"brtva")</f>
        <v>brtva</v>
      </c>
    </row>
    <row r="2617" spans="1:2" x14ac:dyDescent="0.2">
      <c r="A2617" s="21" t="s">
        <v>873</v>
      </c>
      <c r="B2617" s="18" t="str">
        <f ca="1">IFERROR(__xludf.DUMMYFUNCTION("GOOGLETRANSLATE(C2562,""en"",""hr"")"),"Držač mlaznice")</f>
        <v>Držač mlaznice</v>
      </c>
    </row>
    <row r="2618" spans="1:2" x14ac:dyDescent="0.2">
      <c r="A2618" s="21" t="s">
        <v>1055</v>
      </c>
      <c r="B2618" s="18" t="str">
        <f ca="1">IFERROR(__xludf.DUMMYFUNCTION("GOOGLETRANSLATE(C3444,""en"",""hr"")"),"Stop zagrada")</f>
        <v>Stop zagrada</v>
      </c>
    </row>
    <row r="2619" spans="1:2" x14ac:dyDescent="0.2">
      <c r="A2619" s="21" t="s">
        <v>388</v>
      </c>
      <c r="B2619" s="18" t="str">
        <f ca="1">IFERROR(__xludf.DUMMYFUNCTION("GOOGLETRANSLATE(C908,""en"",""hr"")"),"Hidro ležaj")</f>
        <v>Hidro ležaj</v>
      </c>
    </row>
    <row r="2620" spans="1:2" x14ac:dyDescent="0.2">
      <c r="A2620" s="21" t="s">
        <v>850</v>
      </c>
      <c r="B2620" s="18" t="str">
        <f ca="1">IFERROR(__xludf.DUMMYFUNCTION("GOOGLETRANSLATE(C2513,""en"",""hr"")"),"Vreteno")</f>
        <v>Vreteno</v>
      </c>
    </row>
    <row r="2621" spans="1:2" x14ac:dyDescent="0.2">
      <c r="A2621" s="21" t="s">
        <v>789</v>
      </c>
      <c r="B2621" s="18" t="str">
        <f ca="1">IFERROR(__xludf.DUMMYFUNCTION("GOOGLETRANSLATE(C2419,""en"",""hr"")"),"Poluga")</f>
        <v>Poluga</v>
      </c>
    </row>
    <row r="2622" spans="1:2" x14ac:dyDescent="0.2">
      <c r="A2622" s="21" t="s">
        <v>834</v>
      </c>
      <c r="B2622" s="18" t="str">
        <f ca="1">IFERROR(__xludf.DUMMYFUNCTION("GOOGLETRANSLATE(C2497,""en"",""hr"")"),"Teleskopska ruka")</f>
        <v>Teleskopska ruka</v>
      </c>
    </row>
    <row r="2623" spans="1:2" x14ac:dyDescent="0.2">
      <c r="A2623" s="21" t="s">
        <v>858</v>
      </c>
      <c r="B2623" s="18" t="str">
        <f ca="1">IFERROR(__xludf.DUMMYFUNCTION("GOOGLETRANSLATE(C2531,""en"",""hr"")"),"Vilica")</f>
        <v>Vilica</v>
      </c>
    </row>
    <row r="2624" spans="1:2" x14ac:dyDescent="0.2">
      <c r="A2624" s="21" t="s">
        <v>779</v>
      </c>
      <c r="B2624" s="18" t="str">
        <f ca="1">IFERROR(__xludf.DUMMYFUNCTION("GOOGLETRANSLATE(C2408,""en"",""hr"")"),"Osovina")</f>
        <v>Osovina</v>
      </c>
    </row>
    <row r="2625" spans="1:2" x14ac:dyDescent="0.2">
      <c r="A2625" s="21" t="s">
        <v>879</v>
      </c>
      <c r="B2625" s="18" t="str">
        <f ca="1">IFERROR(__xludf.DUMMYFUNCTION("GOOGLETRANSLATE(C2574,""en"",""hr"")"),"Držač")</f>
        <v>Držač</v>
      </c>
    </row>
    <row r="2626" spans="1:2" x14ac:dyDescent="0.2">
      <c r="A2626" s="21" t="s">
        <v>878</v>
      </c>
      <c r="B2626" s="18" t="str">
        <f ca="1">IFERROR(__xludf.DUMMYFUNCTION("GOOGLETRANSLATE(C2573,""en"",""hr"")"),"Stezna traka")</f>
        <v>Stezna traka</v>
      </c>
    </row>
    <row r="2627" spans="1:2" x14ac:dyDescent="0.2">
      <c r="A2627" s="21" t="s">
        <v>877</v>
      </c>
      <c r="B2627" s="18" t="str">
        <f ca="1">IFERROR(__xludf.DUMMYFUNCTION("GOOGLETRANSLATE(C2572,""en"",""hr"")"),"Gumena pregača")</f>
        <v>Gumena pregača</v>
      </c>
    </row>
    <row r="2628" spans="1:2" x14ac:dyDescent="0.2">
      <c r="A2628" s="21" t="s">
        <v>860</v>
      </c>
      <c r="B2628" s="18" t="str">
        <f ca="1">IFERROR(__xludf.DUMMYFUNCTION("GOOGLETRANSLATE(C2533,""en"",""hr"")"),"Hidraulički cilindar")</f>
        <v>Hidraulički cilindar</v>
      </c>
    </row>
    <row r="2629" spans="1:2" x14ac:dyDescent="0.2">
      <c r="A2629" s="21" t="s">
        <v>783</v>
      </c>
      <c r="B2629" s="18" t="str">
        <f ca="1">IFERROR(__xludf.DUMMYFUNCTION("GOOGLETRANSLATE(C2413,""en"",""hr"")"),"Hidraulički cilindar")</f>
        <v>Hidraulički cilindar</v>
      </c>
    </row>
    <row r="2630" spans="1:2" x14ac:dyDescent="0.2">
      <c r="A2630" s="21" t="s">
        <v>825</v>
      </c>
      <c r="B2630" s="18" t="str">
        <f ca="1">IFERROR(__xludf.DUMMYFUNCTION("GOOGLETRANSLATE(C2482,""en"",""hr"")"),"Hidraulički cilindar")</f>
        <v>Hidraulički cilindar</v>
      </c>
    </row>
    <row r="2631" spans="1:2" x14ac:dyDescent="0.2">
      <c r="A2631" s="21" t="s">
        <v>781</v>
      </c>
      <c r="B2631" s="18" t="str">
        <f ca="1">IFERROR(__xludf.DUMMYFUNCTION("GOOGLETRANSLATE(C2410,""en"",""hr"")"),"Podloška za zaključavanje")</f>
        <v>Podloška za zaključavanje</v>
      </c>
    </row>
    <row r="2632" spans="1:2" x14ac:dyDescent="0.2">
      <c r="A2632" s="21" t="s">
        <v>851</v>
      </c>
      <c r="B2632" s="18" t="str">
        <f ca="1">IFERROR(__xludf.DUMMYFUNCTION("GOOGLETRANSLATE(C2515,""en"",""hr"")"),"Napetost opruge")</f>
        <v>Napetost opruge</v>
      </c>
    </row>
    <row r="2633" spans="1:2" x14ac:dyDescent="0.2">
      <c r="A2633" s="21" t="s">
        <v>862</v>
      </c>
      <c r="B2633" s="18" t="str">
        <f ca="1">IFERROR(__xludf.DUMMYFUNCTION("GOOGLETRANSLATE(C2535,""en"",""hr"")"),"Nosač držača četke")</f>
        <v>Nosač držača četke</v>
      </c>
    </row>
    <row r="2634" spans="1:2" x14ac:dyDescent="0.2">
      <c r="A2634" s="21" t="s">
        <v>790</v>
      </c>
      <c r="B2634" s="18" t="str">
        <f ca="1">IFERROR(__xludf.DUMMYFUNCTION("GOOGLETRANSLATE(C2420,""en"",""hr"")"),"Čahura")</f>
        <v>Čahura</v>
      </c>
    </row>
    <row r="2635" spans="1:2" x14ac:dyDescent="0.2">
      <c r="A2635" s="21" t="s">
        <v>883</v>
      </c>
      <c r="B2635" s="18" t="str">
        <f ca="1">IFERROR(__xludf.DUMMYFUNCTION("GOOGLETRANSLATE(C2580,""en"",""hr"")"),"Napetost nosača")</f>
        <v>Napetost nosača</v>
      </c>
    </row>
    <row r="2636" spans="1:2" x14ac:dyDescent="0.2">
      <c r="A2636" s="21" t="s">
        <v>882</v>
      </c>
      <c r="B2636" s="18" t="str">
        <f ca="1">IFERROR(__xludf.DUMMYFUNCTION("GOOGLETRANSLATE(C2579,""en"",""hr"")"),"Stezaljka")</f>
        <v>Stezaljka</v>
      </c>
    </row>
    <row r="2637" spans="1:2" x14ac:dyDescent="0.2">
      <c r="A2637" s="21" t="s">
        <v>842</v>
      </c>
      <c r="B2637" s="18" t="str">
        <f ca="1">IFERROR(__xludf.DUMMYFUNCTION("GOOGLETRANSLATE(C2505,""en"",""hr"")"),"Klin ležaja")</f>
        <v>Klin ležaja</v>
      </c>
    </row>
    <row r="2638" spans="1:2" x14ac:dyDescent="0.2">
      <c r="A2638" s="21" t="s">
        <v>856</v>
      </c>
      <c r="B2638" s="18" t="str">
        <f ca="1">IFERROR(__xludf.DUMMYFUNCTION("GOOGLETRANSLATE(C2524,""en"",""hr"")"),"Čahura")</f>
        <v>Čahura</v>
      </c>
    </row>
    <row r="2639" spans="1:2" x14ac:dyDescent="0.2">
      <c r="A2639" s="21" t="s">
        <v>452</v>
      </c>
      <c r="B2639" s="18" t="str">
        <f ca="1">IFERROR(__xludf.DUMMYFUNCTION("GOOGLETRANSLATE(C1088,""en"",""hr"")"),"Perilica")</f>
        <v>Perilica</v>
      </c>
    </row>
    <row r="2640" spans="1:2" x14ac:dyDescent="0.2">
      <c r="A2640" s="21" t="s">
        <v>872</v>
      </c>
      <c r="B2640" s="18" t="str">
        <f ca="1">IFERROR(__xludf.DUMMYFUNCTION("GOOGLETRANSLATE(C2552,""en"",""hr"")"),"Restriktor")</f>
        <v>Restriktor</v>
      </c>
    </row>
    <row r="2641" spans="1:2" x14ac:dyDescent="0.2">
      <c r="A2641" s="21" t="s">
        <v>1327</v>
      </c>
      <c r="B2641" s="18" t="str">
        <f ca="1">IFERROR(__xludf.DUMMYFUNCTION("GOOGLETRANSLATE(C4175,""en"",""hr"")"),"Kolut za crijevo kpl.")</f>
        <v>Kolut za crijevo kpl.</v>
      </c>
    </row>
    <row r="2642" spans="1:2" x14ac:dyDescent="0.2">
      <c r="A2642" s="21" t="s">
        <v>802</v>
      </c>
      <c r="B2642" s="18" t="str">
        <f ca="1">IFERROR(__xludf.DUMMYFUNCTION("GOOGLETRANSLATE(C2441,""en"",""hr"")"),"Vodilica crijeva kpl.")</f>
        <v>Vodilica crijeva kpl.</v>
      </c>
    </row>
    <row r="2643" spans="1:2" x14ac:dyDescent="0.2">
      <c r="A2643" s="21" t="s">
        <v>901</v>
      </c>
      <c r="B2643" s="18" t="str">
        <f ca="1">IFERROR(__xludf.DUMMYFUNCTION("GOOGLETRANSLATE(C2672,""en"",""hr"")"),"Distantni grm")</f>
        <v>Distantni grm</v>
      </c>
    </row>
    <row r="2644" spans="1:2" x14ac:dyDescent="0.2">
      <c r="A2644" s="21" t="s">
        <v>804</v>
      </c>
      <c r="B2644" s="18" t="str">
        <f ca="1">IFERROR(__xludf.DUMMYFUNCTION("GOOGLETRANSLATE(C2448,""en"",""hr"")"),"Zaustavna ploča")</f>
        <v>Zaustavna ploča</v>
      </c>
    </row>
    <row r="2645" spans="1:2" x14ac:dyDescent="0.2">
      <c r="A2645" s="21" t="s">
        <v>800</v>
      </c>
      <c r="B2645" s="18" t="str">
        <f ca="1">IFERROR(__xludf.DUMMYFUNCTION("GOOGLETRANSLATE(C2439,""en"",""hr"")"),"Perilica")</f>
        <v>Perilica</v>
      </c>
    </row>
    <row r="2646" spans="1:2" x14ac:dyDescent="0.2">
      <c r="A2646" s="21" t="s">
        <v>799</v>
      </c>
      <c r="B2646" s="18" t="str">
        <f ca="1">IFERROR(__xludf.DUMMYFUNCTION("GOOGLETRANSLATE(C2437,""en"",""hr"")"),"Poluga za vožnju unazad")</f>
        <v>Poluga za vožnju unazad</v>
      </c>
    </row>
    <row r="2647" spans="1:2" x14ac:dyDescent="0.2">
      <c r="A2647" s="21" t="s">
        <v>894</v>
      </c>
      <c r="B2647" s="18" t="str">
        <f ca="1">IFERROR(__xludf.DUMMYFUNCTION("GOOGLETRANSLATE(C2651,""en"",""hr"")"),"Poluga za vožnju unazad")</f>
        <v>Poluga za vožnju unazad</v>
      </c>
    </row>
    <row r="2648" spans="1:2" x14ac:dyDescent="0.2">
      <c r="A2648" s="21" t="s">
        <v>776</v>
      </c>
      <c r="B2648" s="18" t="str">
        <f ca="1">IFERROR(__xludf.DUMMYFUNCTION("GOOGLETRANSLATE(C2405,""en"",""hr"")"),"Ruka za njihanje")</f>
        <v>Ruka za njihanje</v>
      </c>
    </row>
    <row r="2649" spans="1:2" x14ac:dyDescent="0.2">
      <c r="A2649" s="21" t="s">
        <v>803</v>
      </c>
      <c r="B2649" s="18" t="str">
        <f ca="1">IFERROR(__xludf.DUMMYFUNCTION("GOOGLETRANSLATE(C2445,""en"",""hr"")"),"Vodič")</f>
        <v>Vodič</v>
      </c>
    </row>
    <row r="2650" spans="1:2" x14ac:dyDescent="0.2">
      <c r="A2650" s="21" t="s">
        <v>801</v>
      </c>
      <c r="B2650" s="18" t="str">
        <f ca="1">IFERROR(__xludf.DUMMYFUNCTION("GOOGLETRANSLATE(C2440,""en"",""hr"")"),"Opružni element")</f>
        <v>Opružni element</v>
      </c>
    </row>
    <row r="2651" spans="1:2" x14ac:dyDescent="0.2">
      <c r="A2651" s="21" t="s">
        <v>778</v>
      </c>
      <c r="B2651" s="18" t="str">
        <f ca="1">IFERROR(__xludf.DUMMYFUNCTION("GOOGLETRANSLATE(C2407,""en"",""hr"")"),"Čahura ležaja")</f>
        <v>Čahura ležaja</v>
      </c>
    </row>
    <row r="2652" spans="1:2" x14ac:dyDescent="0.2">
      <c r="A2652" s="21" t="s">
        <v>817</v>
      </c>
      <c r="B2652" s="18" t="str">
        <f ca="1">IFERROR(__xludf.DUMMYFUNCTION("GOOGLETRANSLATE(C2470,""en"",""hr"")"),"Nosač teleskopa")</f>
        <v>Nosač teleskopa</v>
      </c>
    </row>
    <row r="2653" spans="1:2" x14ac:dyDescent="0.2">
      <c r="A2653" s="21" t="s">
        <v>818</v>
      </c>
      <c r="B2653" s="18" t="str">
        <f ca="1">IFERROR(__xludf.DUMMYFUNCTION("GOOGLETRANSLATE(C2471,""en"",""hr"")"),"Sigurnosni vijak")</f>
        <v>Sigurnosni vijak</v>
      </c>
    </row>
    <row r="2654" spans="1:2" x14ac:dyDescent="0.2">
      <c r="A2654" s="21" t="s">
        <v>806</v>
      </c>
      <c r="B2654" s="18" t="str">
        <f ca="1">IFERROR(__xludf.DUMMYFUNCTION("GOOGLETRANSLATE(C2450,""en"",""hr"")"),"Stezaljka")</f>
        <v>Stezaljka</v>
      </c>
    </row>
    <row r="2655" spans="1:2" x14ac:dyDescent="0.2">
      <c r="A2655" s="21" t="s">
        <v>1174</v>
      </c>
      <c r="B2655" s="18" t="str">
        <f ca="1">IFERROR(__xludf.DUMMYFUNCTION("GOOGLETRANSLATE(C3785,""en"",""hr"")"),"Pumpa za vodu kpl.")</f>
        <v>Pumpa za vodu kpl.</v>
      </c>
    </row>
    <row r="2656" spans="1:2" x14ac:dyDescent="0.2">
      <c r="A2656" s="21" t="s">
        <v>905</v>
      </c>
      <c r="B2656" s="18" t="str">
        <f ca="1">IFERROR(__xludf.DUMMYFUNCTION("GOOGLETRANSLATE(C2687,""en"",""hr"")"),"Hidraulički cilindar")</f>
        <v>Hidraulički cilindar</v>
      </c>
    </row>
    <row r="2657" spans="1:2" x14ac:dyDescent="0.2">
      <c r="A2657" s="21" t="s">
        <v>896</v>
      </c>
      <c r="B2657" s="18" t="str">
        <f ca="1">IFERROR(__xludf.DUMMYFUNCTION("GOOGLETRANSLATE(C2654,""en"",""hr"")"),"Držač")</f>
        <v>Držač</v>
      </c>
    </row>
    <row r="2658" spans="1:2" x14ac:dyDescent="0.2">
      <c r="A2658" s="21" t="s">
        <v>910</v>
      </c>
      <c r="B2658" s="18" t="str">
        <f ca="1">IFERROR(__xludf.DUMMYFUNCTION("GOOGLETRANSLATE(C2725,""en"",""hr"")"),"Razina podizanja")</f>
        <v>Razina podizanja</v>
      </c>
    </row>
    <row r="2659" spans="1:2" x14ac:dyDescent="0.2">
      <c r="A2659" s="21" t="s">
        <v>949</v>
      </c>
      <c r="B2659" s="18" t="str">
        <f ca="1">IFERROR(__xludf.DUMMYFUNCTION("GOOGLETRANSLATE(C3018,""en"",""hr"")"),"Sweeping Guard cpl.")</f>
        <v>Sweeping Guard cpl.</v>
      </c>
    </row>
    <row r="2660" spans="1:2" x14ac:dyDescent="0.2">
      <c r="A2660" s="21" t="s">
        <v>951</v>
      </c>
      <c r="B2660" s="18" t="str">
        <f ca="1">IFERROR(__xludf.DUMMYFUNCTION("GOOGLETRANSLATE(C3020,""en"",""hr"")"),"Pregača")</f>
        <v>Pregača</v>
      </c>
    </row>
    <row r="2661" spans="1:2" x14ac:dyDescent="0.2">
      <c r="A2661" s="21" t="s">
        <v>950</v>
      </c>
      <c r="B2661" s="18" t="str">
        <f ca="1">IFERROR(__xludf.DUMMYFUNCTION("GOOGLETRANSLATE(C3019,""en"",""hr"")"),"Traka")</f>
        <v>Traka</v>
      </c>
    </row>
    <row r="2662" spans="1:2" x14ac:dyDescent="0.2">
      <c r="A2662" s="21" t="s">
        <v>948</v>
      </c>
      <c r="B2662" s="18" t="str">
        <f ca="1">IFERROR(__xludf.DUMMYFUNCTION("GOOGLETRANSLATE(C3013,""en"",""hr"")"),"Montažna ploča")</f>
        <v>Montažna ploča</v>
      </c>
    </row>
    <row r="2663" spans="1:2" x14ac:dyDescent="0.2">
      <c r="A2663" s="21" t="s">
        <v>947</v>
      </c>
      <c r="B2663" s="18" t="str">
        <f ca="1">IFERROR(__xludf.DUMMYFUNCTION("GOOGLETRANSLATE(C3012,""en"",""hr"")"),"Čelični snop")</f>
        <v>Čelični snop</v>
      </c>
    </row>
    <row r="2664" spans="1:2" x14ac:dyDescent="0.2">
      <c r="A2664" s="21" t="s">
        <v>852</v>
      </c>
      <c r="B2664" s="18" t="str">
        <f ca="1">IFERROR(__xludf.DUMMYFUNCTION("GOOGLETRANSLATE(C2516,""en"",""hr"")"),"Vijak")</f>
        <v>Vijak</v>
      </c>
    </row>
    <row r="2665" spans="1:2" x14ac:dyDescent="0.2">
      <c r="A2665" s="21" t="s">
        <v>826</v>
      </c>
      <c r="B2665" s="18" t="str">
        <f ca="1">IFERROR(__xludf.DUMMYFUNCTION("GOOGLETRANSLATE(C2483,""en"",""hr"")"),"Vijak")</f>
        <v>Vijak</v>
      </c>
    </row>
    <row r="2666" spans="1:2" x14ac:dyDescent="0.2">
      <c r="A2666" s="21" t="s">
        <v>770</v>
      </c>
      <c r="B2666" s="18" t="str">
        <f ca="1">IFERROR(__xludf.DUMMYFUNCTION("GOOGLETRANSLATE(C2399,""en"",""hr"")"),"Vijak")</f>
        <v>Vijak</v>
      </c>
    </row>
    <row r="2667" spans="1:2" x14ac:dyDescent="0.2">
      <c r="A2667" s="21" t="s">
        <v>808</v>
      </c>
      <c r="B2667" s="18" t="str">
        <f ca="1">IFERROR(__xludf.DUMMYFUNCTION("GOOGLETRANSLATE(C2454,""en"",""hr"")"),"Vijak")</f>
        <v>Vijak</v>
      </c>
    </row>
    <row r="2668" spans="1:2" x14ac:dyDescent="0.2">
      <c r="A2668" s="21" t="s">
        <v>775</v>
      </c>
      <c r="B2668" s="18" t="str">
        <f ca="1">IFERROR(__xludf.DUMMYFUNCTION("GOOGLETRANSLATE(C2404,""en"",""hr"")"),"Vijak")</f>
        <v>Vijak</v>
      </c>
    </row>
    <row r="2669" spans="1:2" x14ac:dyDescent="0.2">
      <c r="A2669" s="21" t="s">
        <v>880</v>
      </c>
      <c r="B2669" s="18" t="str">
        <f ca="1">IFERROR(__xludf.DUMMYFUNCTION("GOOGLETRANSLATE(C2575,""en"",""hr"")"),"Torziona poluga")</f>
        <v>Torziona poluga</v>
      </c>
    </row>
    <row r="2670" spans="1:2" x14ac:dyDescent="0.2">
      <c r="A2670" s="21" t="s">
        <v>814</v>
      </c>
      <c r="B2670" s="18" t="str">
        <f ca="1">IFERROR(__xludf.DUMMYFUNCTION("GOOGLETRANSLATE(C2464,""en"",""hr"")"),"Vodič")</f>
        <v>Vodič</v>
      </c>
    </row>
    <row r="2671" spans="1:2" x14ac:dyDescent="0.2">
      <c r="A2671" s="21" t="s">
        <v>815</v>
      </c>
      <c r="B2671" s="18" t="str">
        <f ca="1">IFERROR(__xludf.DUMMYFUNCTION("GOOGLETRANSLATE(C2465,""en"",""hr"")"),"Poklopna ploča")</f>
        <v>Poklopna ploča</v>
      </c>
    </row>
    <row r="2672" spans="1:2" x14ac:dyDescent="0.2">
      <c r="A2672" s="21" t="s">
        <v>621</v>
      </c>
      <c r="B2672" s="18" t="str">
        <f ca="1">IFERROR(__xludf.DUMMYFUNCTION("GOOGLETRANSLATE(C1930,""en"",""hr"")"),"Hidromotor")</f>
        <v>Hidromotor</v>
      </c>
    </row>
    <row r="2673" spans="1:2" x14ac:dyDescent="0.2">
      <c r="A2673" s="21" t="s">
        <v>212</v>
      </c>
      <c r="B2673" s="18" t="str">
        <f ca="1">IFERROR(__xludf.DUMMYFUNCTION("GOOGLETRANSLATE(C448,""en"",""hr"")"),"Perilica")</f>
        <v>Perilica</v>
      </c>
    </row>
    <row r="2674" spans="1:2" x14ac:dyDescent="0.2">
      <c r="A2674" s="21" t="s">
        <v>614</v>
      </c>
      <c r="B2674" s="18" t="str">
        <f ca="1">IFERROR(__xludf.DUMMYFUNCTION("GOOGLETRANSLATE(C1907,""en"",""hr"")"),"Potrošna ploča")</f>
        <v>Potrošna ploča</v>
      </c>
    </row>
    <row r="2675" spans="1:2" x14ac:dyDescent="0.2">
      <c r="A2675" s="21" t="s">
        <v>868</v>
      </c>
      <c r="B2675" s="18" t="str">
        <f ca="1">IFERROR(__xludf.DUMMYFUNCTION("GOOGLETRANSLATE(C2547,""en"",""hr"")"),"Distantni grm")</f>
        <v>Distantni grm</v>
      </c>
    </row>
    <row r="2676" spans="1:2" x14ac:dyDescent="0.2">
      <c r="A2676" s="21" t="s">
        <v>1322</v>
      </c>
      <c r="B2676" s="18" t="str">
        <f ca="1">IFERROR(__xludf.DUMMYFUNCTION("GOOGLETRANSLATE(C4159,""en"",""hr"")"),"Stezaljka")</f>
        <v>Stezaljka</v>
      </c>
    </row>
    <row r="2677" spans="1:2" x14ac:dyDescent="0.2">
      <c r="A2677" s="21" t="s">
        <v>1314</v>
      </c>
      <c r="B2677" s="18" t="str">
        <f ca="1">IFERROR(__xludf.DUMMYFUNCTION("GOOGLETRANSLATE(C4150,""en"",""hr"")"),"Stezaljka kpl.")</f>
        <v>Stezaljka kpl.</v>
      </c>
    </row>
    <row r="2678" spans="1:2" x14ac:dyDescent="0.2">
      <c r="A2678" s="21" t="s">
        <v>1324</v>
      </c>
      <c r="B2678" s="18" t="str">
        <f ca="1">IFERROR(__xludf.DUMMYFUNCTION("GOOGLETRANSLATE(C4163,""en"",""hr"")"),"Stezaljka kpl.")</f>
        <v>Stezaljka kpl.</v>
      </c>
    </row>
    <row r="2679" spans="1:2" x14ac:dyDescent="0.2">
      <c r="A2679" s="21" t="s">
        <v>1245</v>
      </c>
      <c r="B2679" s="18" t="str">
        <f ca="1">IFERROR(__xludf.DUMMYFUNCTION("GOOGLETRANSLATE(C3951,""en"",""hr"")"),"Ventil za kontrolu tlaka")</f>
        <v>Ventil za kontrolu tlaka</v>
      </c>
    </row>
    <row r="2680" spans="1:2" x14ac:dyDescent="0.2">
      <c r="A2680" s="21" t="s">
        <v>1315</v>
      </c>
      <c r="B2680" s="18" t="str">
        <f ca="1">IFERROR(__xludf.DUMMYFUNCTION("GOOGLETRANSLATE(C4151,""en"",""hr"")"),"Šipka za pranje")</f>
        <v>Šipka za pranje</v>
      </c>
    </row>
    <row r="2681" spans="1:2" x14ac:dyDescent="0.2">
      <c r="A2681" s="21" t="s">
        <v>908</v>
      </c>
      <c r="B2681" s="18" t="str">
        <f ca="1">IFERROR(__xludf.DUMMYFUNCTION("GOOGLETRANSLATE(C2708,""en"",""hr"")"),"Vilica")</f>
        <v>Vilica</v>
      </c>
    </row>
    <row r="2682" spans="1:2" x14ac:dyDescent="0.2">
      <c r="A2682" s="21" t="s">
        <v>895</v>
      </c>
      <c r="B2682" s="18" t="str">
        <f ca="1">IFERROR(__xludf.DUMMYFUNCTION("GOOGLETRANSLATE(C2653,""en"",""hr"")"),"Okretno-nagibna ploča")</f>
        <v>Okretno-nagibna ploča</v>
      </c>
    </row>
    <row r="2683" spans="1:2" x14ac:dyDescent="0.2">
      <c r="A2683" s="21" t="s">
        <v>912</v>
      </c>
      <c r="B2683" s="18" t="str">
        <f ca="1">IFERROR(__xludf.DUMMYFUNCTION("GOOGLETRANSLATE(C2733,""en"",""hr"")"),"Ploča")</f>
        <v>Ploča</v>
      </c>
    </row>
    <row r="2684" spans="1:2" x14ac:dyDescent="0.2">
      <c r="A2684" s="21" t="s">
        <v>916</v>
      </c>
      <c r="B2684" s="18" t="str">
        <f ca="1">IFERROR(__xludf.DUMMYFUNCTION("GOOGLETRANSLATE(C2754,""en"",""hr"")"),"Distantni grm")</f>
        <v>Distantni grm</v>
      </c>
    </row>
    <row r="2685" spans="1:2" x14ac:dyDescent="0.2">
      <c r="A2685" s="21" t="s">
        <v>922</v>
      </c>
      <c r="B2685" s="18" t="str">
        <f ca="1">IFERROR(__xludf.DUMMYFUNCTION("GOOGLETRANSLATE(C2777,""en"",""hr"")"),"Gumena pregača")</f>
        <v>Gumena pregača</v>
      </c>
    </row>
    <row r="2686" spans="1:2" x14ac:dyDescent="0.2">
      <c r="A2686" s="21" t="s">
        <v>927</v>
      </c>
      <c r="B2686" s="18" t="str">
        <f ca="1">IFERROR(__xludf.DUMMYFUNCTION("GOOGLETRANSLATE(C2788,""en"",""hr"")"),"Ruka")</f>
        <v>Ruka</v>
      </c>
    </row>
    <row r="2687" spans="1:2" x14ac:dyDescent="0.2">
      <c r="A2687" s="21" t="s">
        <v>923</v>
      </c>
      <c r="B2687" s="18" t="str">
        <f ca="1">IFERROR(__xludf.DUMMYFUNCTION("GOOGLETRANSLATE(C2778,""en"",""hr"")"),"Traka")</f>
        <v>Traka</v>
      </c>
    </row>
    <row r="2688" spans="1:2" x14ac:dyDescent="0.2">
      <c r="A2688" s="21" t="s">
        <v>924</v>
      </c>
      <c r="B2688" s="18" t="str">
        <f ca="1">IFERROR(__xludf.DUMMYFUNCTION("GOOGLETRANSLATE(C2779,""en"",""hr"")"),"Štap")</f>
        <v>Štap</v>
      </c>
    </row>
    <row r="2689" spans="1:2" x14ac:dyDescent="0.2">
      <c r="A2689" s="21" t="s">
        <v>925</v>
      </c>
      <c r="B2689" s="18" t="str">
        <f ca="1">IFERROR(__xludf.DUMMYFUNCTION("GOOGLETRANSLATE(C2780,""en"",""hr"")"),"Stezna traka")</f>
        <v>Stezna traka</v>
      </c>
    </row>
    <row r="2690" spans="1:2" x14ac:dyDescent="0.2">
      <c r="A2690" s="21" t="s">
        <v>953</v>
      </c>
      <c r="B2690" s="18" t="str">
        <f ca="1">IFERROR(__xludf.DUMMYFUNCTION("GOOGLETRANSLATE(C3028,""en"",""hr"")"),"Potporna ruka")</f>
        <v>Potporna ruka</v>
      </c>
    </row>
    <row r="2691" spans="1:2" x14ac:dyDescent="0.2">
      <c r="A2691" s="21" t="s">
        <v>897</v>
      </c>
      <c r="B2691" s="18" t="str">
        <f ca="1">IFERROR(__xludf.DUMMYFUNCTION("GOOGLETRANSLATE(C2656,""en"",""hr"")"),"Vijak")</f>
        <v>Vijak</v>
      </c>
    </row>
    <row r="2692" spans="1:2" x14ac:dyDescent="0.2">
      <c r="A2692" s="21" t="s">
        <v>710</v>
      </c>
      <c r="B2692" s="18" t="str">
        <f ca="1">IFERROR(__xludf.DUMMYFUNCTION("GOOGLETRANSLATE(C2245,""en"",""hr"")"),"Držač mlaznice za vodu")</f>
        <v>Držač mlaznice za vodu</v>
      </c>
    </row>
    <row r="2693" spans="1:2" x14ac:dyDescent="0.2">
      <c r="A2693" s="21" t="s">
        <v>1021</v>
      </c>
      <c r="B2693" s="18" t="str">
        <f ca="1">IFERROR(__xludf.DUMMYFUNCTION("GOOGLETRANSLATE(C3301,""en"",""hr"")"),"Upravljački valjak")</f>
        <v>Upravljački valjak</v>
      </c>
    </row>
    <row r="2694" spans="1:2" x14ac:dyDescent="0.2">
      <c r="A2694" s="21" t="s">
        <v>906</v>
      </c>
      <c r="B2694" s="18" t="str">
        <f ca="1">IFERROR(__xludf.DUMMYFUNCTION("GOOGLETRANSLATE(C2699,""en"",""hr"")"),"Cijev")</f>
        <v>Cijev</v>
      </c>
    </row>
    <row r="2695" spans="1:2" x14ac:dyDescent="0.2">
      <c r="A2695" s="21" t="s">
        <v>1023</v>
      </c>
      <c r="B2695" s="18" t="str">
        <f ca="1">IFERROR(__xludf.DUMMYFUNCTION("GOOGLETRANSLATE(C3313,""en"",""hr"")"),"Perilica")</f>
        <v>Perilica</v>
      </c>
    </row>
    <row r="2696" spans="1:2" x14ac:dyDescent="0.2">
      <c r="A2696" s="21" t="s">
        <v>708</v>
      </c>
      <c r="B2696" s="18" t="str">
        <f ca="1">IFERROR(__xludf.DUMMYFUNCTION("GOOGLETRANSLATE(C2238,""en"",""hr"")"),"Hidraulički motor za pogon s četkom")</f>
        <v>Hidraulički motor za pogon s četkom</v>
      </c>
    </row>
    <row r="2697" spans="1:2" x14ac:dyDescent="0.2">
      <c r="A2697" s="21" t="s">
        <v>658</v>
      </c>
      <c r="B2697" s="18" t="str">
        <f ca="1">IFERROR(__xludf.DUMMYFUNCTION("GOOGLETRANSLATE(C2082,""en"",""hr"")"),"Vijak")</f>
        <v>Vijak</v>
      </c>
    </row>
    <row r="2698" spans="1:2" x14ac:dyDescent="0.2">
      <c r="A2698" s="21" t="s">
        <v>660</v>
      </c>
      <c r="B2698" s="18" t="str">
        <f ca="1">IFERROR(__xludf.DUMMYFUNCTION("GOOGLETRANSLATE(C2085,""en"",""hr"")"),"Hidraulički cilindar, desno")</f>
        <v>Hidraulički cilindar, desno</v>
      </c>
    </row>
    <row r="2699" spans="1:2" x14ac:dyDescent="0.2">
      <c r="A2699" s="21" t="s">
        <v>661</v>
      </c>
      <c r="B2699" s="18" t="str">
        <f ca="1">IFERROR(__xludf.DUMMYFUNCTION("GOOGLETRANSLATE(C2086,""en"",""hr"")"),"Hidraulički cilindar, lijevo")</f>
        <v>Hidraulički cilindar, lijevo</v>
      </c>
    </row>
    <row r="2700" spans="1:2" x14ac:dyDescent="0.2">
      <c r="A2700" s="21" t="s">
        <v>34</v>
      </c>
      <c r="B2700" s="18" t="str">
        <f ca="1">IFERROR(__xludf.DUMMYFUNCTION("GOOGLETRANSLATE(C50,""en"",""hr"")"),"Stezaljka")</f>
        <v>Stezaljka</v>
      </c>
    </row>
    <row r="2701" spans="1:2" x14ac:dyDescent="0.2">
      <c r="A2701" s="21" t="s">
        <v>39</v>
      </c>
      <c r="B2701" s="18" t="str">
        <f ca="1">IFERROR(__xludf.DUMMYFUNCTION("GOOGLETRANSLATE(C55,""en"",""hr"")"),"Pumpa za vodu")</f>
        <v>Pumpa za vodu</v>
      </c>
    </row>
    <row r="2702" spans="1:2" x14ac:dyDescent="0.2">
      <c r="A2702" s="21" t="s">
        <v>1118</v>
      </c>
      <c r="B2702" s="18" t="str">
        <f ca="1">IFERROR(__xludf.DUMMYFUNCTION("GOOGLETRANSLATE(C3653,""en"",""hr"")"),"Pumpa za vodu")</f>
        <v>Pumpa za vodu</v>
      </c>
    </row>
    <row r="2703" spans="1:2" x14ac:dyDescent="0.2">
      <c r="A2703" s="21" t="s">
        <v>2000</v>
      </c>
      <c r="B2703" s="18" t="str">
        <f ca="1">IFERROR(__xludf.DUMMYFUNCTION("GOOGLETRANSLATE(C6768,""en"",""hr"")"),"Ljepljiva ploča")</f>
        <v>Ljepljiva ploča</v>
      </c>
    </row>
    <row r="2704" spans="1:2" x14ac:dyDescent="0.2">
      <c r="A2704" s="21" t="s">
        <v>1262</v>
      </c>
      <c r="B2704" s="18" t="str">
        <f ca="1">IFERROR(__xludf.DUMMYFUNCTION("GOOGLETRANSLATE(C3987,""en"",""hr"")"),"Hidr.-motor")</f>
        <v>Hidr.-motor</v>
      </c>
    </row>
    <row r="2705" spans="1:2" x14ac:dyDescent="0.2">
      <c r="A2705" s="21" t="s">
        <v>2001</v>
      </c>
      <c r="B2705" s="18" t="str">
        <f ca="1">IFERROR(__xludf.DUMMYFUNCTION("GOOGLETRANSLATE(C6781,""en"",""hr"")"),"Ljepljiva ploča")</f>
        <v>Ljepljiva ploča</v>
      </c>
    </row>
    <row r="2706" spans="1:2" x14ac:dyDescent="0.2">
      <c r="A2706" s="21" t="s">
        <v>72</v>
      </c>
      <c r="B2706" s="18" t="str">
        <f ca="1">IFERROR(__xludf.DUMMYFUNCTION("GOOGLETRANSLATE(C179,""en"",""hr"")"),"Filtar zraka kpl.")</f>
        <v>Filtar zraka kpl.</v>
      </c>
    </row>
    <row r="2707" spans="1:2" x14ac:dyDescent="0.2">
      <c r="A2707" s="21" t="s">
        <v>125</v>
      </c>
      <c r="B2707" s="18" t="str">
        <f ca="1">IFERROR(__xludf.DUMMYFUNCTION("GOOGLETRANSLATE(C255,""en"",""hr"")"),"Filter goriva cpl.")</f>
        <v>Filter goriva cpl.</v>
      </c>
    </row>
    <row r="2708" spans="1:2" x14ac:dyDescent="0.2">
      <c r="A2708" s="21" t="s">
        <v>892</v>
      </c>
      <c r="B2708" s="18" t="str">
        <f ca="1">IFERROR(__xludf.DUMMYFUNCTION("GOOGLETRANSLATE(C2640,""en"",""hr"")"),"Priključak")</f>
        <v>Priključak</v>
      </c>
    </row>
    <row r="2709" spans="1:2" x14ac:dyDescent="0.2">
      <c r="A2709" s="21" t="s">
        <v>820</v>
      </c>
      <c r="B2709" s="18" t="str">
        <f ca="1">IFERROR(__xludf.DUMMYFUNCTION("GOOGLETRANSLATE(C2473,""en"",""hr"")"),"Perilica")</f>
        <v>Perilica</v>
      </c>
    </row>
    <row r="2710" spans="1:2" x14ac:dyDescent="0.2">
      <c r="A2710" s="21" t="s">
        <v>503</v>
      </c>
      <c r="B2710" s="18" t="str">
        <f ca="1">IFERROR(__xludf.DUMMYFUNCTION("GOOGLETRANSLATE(C1246,""en"",""hr"")"),"Oblikovano crijevo")</f>
        <v>Oblikovano crijevo</v>
      </c>
    </row>
    <row r="2711" spans="1:2" x14ac:dyDescent="0.2">
      <c r="A2711" s="21" t="s">
        <v>1452</v>
      </c>
      <c r="B2711" s="18" t="str">
        <f ca="1">IFERROR(__xludf.DUMMYFUNCTION("GOOGLETRANSLATE(C4745,""en"",""hr"")"),"Ručni strugač")</f>
        <v>Ručni strugač</v>
      </c>
    </row>
    <row r="2712" spans="1:2" x14ac:dyDescent="0.2">
      <c r="A2712" s="21" t="s">
        <v>162</v>
      </c>
      <c r="B2712" s="18" t="str">
        <f ca="1">IFERROR(__xludf.DUMMYFUNCTION("GOOGLETRANSLATE(C313,""en"",""hr"")"),"Odstojna cijev")</f>
        <v>Odstojna cijev</v>
      </c>
    </row>
    <row r="2713" spans="1:2" x14ac:dyDescent="0.2">
      <c r="A2713" s="21" t="s">
        <v>954</v>
      </c>
      <c r="B2713" s="18" t="str">
        <f ca="1">IFERROR(__xludf.DUMMYFUNCTION("GOOGLETRANSLATE(C3030,""en"",""hr"")"),"Lagana četka za korov")</f>
        <v>Lagana četka za korov</v>
      </c>
    </row>
    <row r="2714" spans="1:2" x14ac:dyDescent="0.2">
      <c r="A2714" s="21" t="s">
        <v>31</v>
      </c>
      <c r="B2714" s="18" t="str">
        <f ca="1">IFERROR(__xludf.DUMMYFUNCTION("GOOGLETRANSLATE(C40,""en"",""hr"")"),"Reflektor")</f>
        <v>Reflektor</v>
      </c>
    </row>
    <row r="2715" spans="1:2" x14ac:dyDescent="0.2">
      <c r="A2715" s="21" t="s">
        <v>1899</v>
      </c>
      <c r="B2715" s="18" t="str">
        <f ca="1">IFERROR(__xludf.DUMMYFUNCTION("GOOGLETRANSLATE(C6622,""en"",""hr"")"),"Velcro® traka")</f>
        <v>Velcro® traka</v>
      </c>
    </row>
    <row r="2716" spans="1:2" x14ac:dyDescent="0.2">
      <c r="A2716" s="21" t="s">
        <v>2005</v>
      </c>
      <c r="B2716" s="18" t="str">
        <f ca="1">IFERROR(__xludf.DUMMYFUNCTION("GOOGLETRANSLATE(C6803,""en"",""hr"")"),"Traka upozorenja")</f>
        <v>Traka upozorenja</v>
      </c>
    </row>
    <row r="2717" spans="1:2" x14ac:dyDescent="0.2">
      <c r="A2717" s="21" t="s">
        <v>1101</v>
      </c>
      <c r="B2717" s="18" t="str">
        <f ca="1">IFERROR(__xludf.DUMMYFUNCTION("GOOGLETRANSLATE(C3570,""en"",""hr"")"),"brtva")</f>
        <v>brtva</v>
      </c>
    </row>
    <row r="2718" spans="1:2" x14ac:dyDescent="0.2">
      <c r="A2718" s="21" t="s">
        <v>1029</v>
      </c>
      <c r="B2718" s="18" t="str">
        <f ca="1">IFERROR(__xludf.DUMMYFUNCTION("GOOGLETRANSLATE(C3353,""en"",""hr"")"),"Lisnata opruga")</f>
        <v>Lisnata opruga</v>
      </c>
    </row>
    <row r="2719" spans="1:2" x14ac:dyDescent="0.2">
      <c r="A2719" s="21" t="s">
        <v>1051</v>
      </c>
      <c r="B2719" s="18" t="str">
        <f ca="1">IFERROR(__xludf.DUMMYFUNCTION("GOOGLETRANSLATE(C3436,""en"",""hr"")"),"brtva")</f>
        <v>brtva</v>
      </c>
    </row>
    <row r="2720" spans="1:2" x14ac:dyDescent="0.2">
      <c r="A2720" s="21" t="s">
        <v>662</v>
      </c>
      <c r="B2720" s="18" t="str">
        <f ca="1">IFERROR(__xludf.DUMMYFUNCTION("GOOGLETRANSLATE(C2087,""en"",""hr"")"),"Set brtvila")</f>
        <v>Set brtvila</v>
      </c>
    </row>
    <row r="2721" spans="1:2" x14ac:dyDescent="0.2">
      <c r="A2721" s="21" t="s">
        <v>1205</v>
      </c>
      <c r="B2721" s="18" t="str">
        <f ca="1">IFERROR(__xludf.DUMMYFUNCTION("GOOGLETRANSLATE(C3820,""en"",""hr"")"),"Komplet prstena")</f>
        <v>Komplet prstena</v>
      </c>
    </row>
    <row r="2722" spans="1:2" x14ac:dyDescent="0.2">
      <c r="A2722" s="21" t="s">
        <v>1204</v>
      </c>
      <c r="B2722" s="18" t="str">
        <f ca="1">IFERROR(__xludf.DUMMYFUNCTION("GOOGLETRANSLATE(C3819,""en"",""hr"")"),"Set brtvila")</f>
        <v>Set brtvila</v>
      </c>
    </row>
    <row r="2723" spans="1:2" x14ac:dyDescent="0.2">
      <c r="A2723" s="21" t="s">
        <v>1201</v>
      </c>
      <c r="B2723" s="18" t="str">
        <f ca="1">IFERROR(__xludf.DUMMYFUNCTION("GOOGLETRANSLATE(C3816,""en"",""hr"")"),"Set ventila")</f>
        <v>Set ventila</v>
      </c>
    </row>
    <row r="2724" spans="1:2" x14ac:dyDescent="0.2">
      <c r="A2724" s="21" t="s">
        <v>1202</v>
      </c>
      <c r="B2724" s="18" t="str">
        <f ca="1">IFERROR(__xludf.DUMMYFUNCTION("GOOGLETRANSLATE(C3817,""en"",""hr"")"),"Klipni set")</f>
        <v>Klipni set</v>
      </c>
    </row>
    <row r="2725" spans="1:2" x14ac:dyDescent="0.2">
      <c r="A2725" s="21" t="s">
        <v>1151</v>
      </c>
      <c r="B2725" s="18" t="str">
        <f ca="1">IFERROR(__xludf.DUMMYFUNCTION("GOOGLETRANSLATE(C3743,""en"",""hr"")"),"Manometar")</f>
        <v>Manometar</v>
      </c>
    </row>
    <row r="2726" spans="1:2" x14ac:dyDescent="0.2">
      <c r="A2726" s="21" t="s">
        <v>1634</v>
      </c>
      <c r="B2726" s="18" t="str">
        <f ca="1">IFERROR(__xludf.DUMMYFUNCTION("GOOGLETRANSLATE(C5496,""en"",""hr"")"),"brtva")</f>
        <v>brtva</v>
      </c>
    </row>
    <row r="2727" spans="1:2" x14ac:dyDescent="0.2">
      <c r="A2727" s="21" t="s">
        <v>937</v>
      </c>
      <c r="B2727" s="18" t="str">
        <f ca="1">IFERROR(__xludf.DUMMYFUNCTION("GOOGLETRANSLATE(C2855,""en"",""hr"")"),"Set brtvila")</f>
        <v>Set brtvila</v>
      </c>
    </row>
    <row r="2728" spans="1:2" x14ac:dyDescent="0.2">
      <c r="A2728" s="21" t="s">
        <v>1196</v>
      </c>
      <c r="B2728" s="18" t="str">
        <f ca="1">IFERROR(__xludf.DUMMYFUNCTION("GOOGLETRANSLATE(C3810,""en"",""hr"")"),"O PRSTEN")</f>
        <v>O PRSTEN</v>
      </c>
    </row>
    <row r="2729" spans="1:2" x14ac:dyDescent="0.2">
      <c r="A2729" s="21" t="s">
        <v>1197</v>
      </c>
      <c r="B2729" s="18" t="str">
        <f ca="1">IFERROR(__xludf.DUMMYFUNCTION("GOOGLETRANSLATE(C3811,""en"",""hr"")"),"UTIKAČ")</f>
        <v>UTIKAČ</v>
      </c>
    </row>
    <row r="2730" spans="1:2" x14ac:dyDescent="0.2">
      <c r="A2730" s="21" t="s">
        <v>1180</v>
      </c>
      <c r="B2730" s="18" t="str">
        <f ca="1">IFERROR(__xludf.DUMMYFUNCTION("GOOGLETRANSLATE(C3793,""en"",""hr"")"),"Mjerač ulja")</f>
        <v>Mjerač ulja</v>
      </c>
    </row>
    <row r="2731" spans="1:2" x14ac:dyDescent="0.2">
      <c r="A2731" s="21" t="s">
        <v>1194</v>
      </c>
      <c r="B2731" s="18" t="str">
        <f ca="1">IFERROR(__xludf.DUMMYFUNCTION("GOOGLETRANSLATE(C3808,""en"",""hr"")"),"UTIKAČ")</f>
        <v>UTIKAČ</v>
      </c>
    </row>
    <row r="2732" spans="1:2" x14ac:dyDescent="0.2">
      <c r="A2732" s="21" t="s">
        <v>1195</v>
      </c>
      <c r="B2732" s="18" t="str">
        <f ca="1">IFERROR(__xludf.DUMMYFUNCTION("GOOGLETRANSLATE(C3809,""en"",""hr"")"),"Utikač")</f>
        <v>Utikač</v>
      </c>
    </row>
    <row r="2733" spans="1:2" x14ac:dyDescent="0.2">
      <c r="A2733" s="21" t="s">
        <v>1168</v>
      </c>
      <c r="B2733" s="18" t="str">
        <f ca="1">IFERROR(__xludf.DUMMYFUNCTION("GOOGLETRANSLATE(C3779,""en"",""hr"")"),"UTIKAČ")</f>
        <v>UTIKAČ</v>
      </c>
    </row>
    <row r="2734" spans="1:2" x14ac:dyDescent="0.2">
      <c r="A2734" s="21" t="s">
        <v>1181</v>
      </c>
      <c r="B2734" s="18" t="str">
        <f ca="1">IFERROR(__xludf.DUMMYFUNCTION("GOOGLETRANSLATE(C3794,""en"",""hr"")"),"Orah")</f>
        <v>Orah</v>
      </c>
    </row>
    <row r="2735" spans="1:2" x14ac:dyDescent="0.2">
      <c r="A2735" s="21" t="s">
        <v>1166</v>
      </c>
      <c r="B2735" s="18" t="str">
        <f ca="1">IFERROR(__xludf.DUMMYFUNCTION("GOOGLETRANSLATE(C3777,""en"",""hr"")"),"Utikač")</f>
        <v>Utikač</v>
      </c>
    </row>
    <row r="2736" spans="1:2" x14ac:dyDescent="0.2">
      <c r="A2736" s="21" t="s">
        <v>1187</v>
      </c>
      <c r="B2736" s="18" t="str">
        <f ca="1">IFERROR(__xludf.DUMMYFUNCTION("GOOGLETRANSLATE(C3801,""en"",""hr"")"),"POKLOPAC")</f>
        <v>POKLOPAC</v>
      </c>
    </row>
    <row r="2737" spans="1:2" x14ac:dyDescent="0.2">
      <c r="A2737" s="21" t="s">
        <v>1177</v>
      </c>
      <c r="B2737" s="18" t="str">
        <f ca="1">IFERROR(__xludf.DUMMYFUNCTION("GOOGLETRANSLATE(C3790,""en"",""hr"")"),"Kapica ležaja")</f>
        <v>Kapica ležaja</v>
      </c>
    </row>
    <row r="2738" spans="1:2" x14ac:dyDescent="0.2">
      <c r="A2738" s="21" t="s">
        <v>1185</v>
      </c>
      <c r="B2738" s="18" t="str">
        <f ca="1">IFERROR(__xludf.DUMMYFUNCTION("GOOGLETRANSLATE(C3799,""en"",""hr"")"),"Vijak")</f>
        <v>Vijak</v>
      </c>
    </row>
    <row r="2739" spans="1:2" x14ac:dyDescent="0.2">
      <c r="A2739" s="21" t="s">
        <v>1189</v>
      </c>
      <c r="B2739" s="18" t="str">
        <f ca="1">IFERROR(__xludf.DUMMYFUNCTION("GOOGLETRANSLATE(C3803,""en"",""hr"")"),"Ploča za podešavanje 0,10 mm")</f>
        <v>Ploča za podešavanje 0,10 mm</v>
      </c>
    </row>
    <row r="2740" spans="1:2" x14ac:dyDescent="0.2">
      <c r="A2740" s="21" t="s">
        <v>1190</v>
      </c>
      <c r="B2740" s="18" t="str">
        <f ca="1">IFERROR(__xludf.DUMMYFUNCTION("GOOGLETRANSLATE(C3804,""en"",""hr"")"),"PERILICA")</f>
        <v>PERILICA</v>
      </c>
    </row>
    <row r="2741" spans="1:2" x14ac:dyDescent="0.2">
      <c r="A2741" s="21" t="s">
        <v>1186</v>
      </c>
      <c r="B2741" s="18" t="str">
        <f ca="1">IFERROR(__xludf.DUMMYFUNCTION("GOOGLETRANSLATE(C3800,""en"",""hr"")"),"Klipnjača")</f>
        <v>Klipnjača</v>
      </c>
    </row>
    <row r="2742" spans="1:2" x14ac:dyDescent="0.2">
      <c r="A2742" s="21" t="s">
        <v>1184</v>
      </c>
      <c r="B2742" s="18" t="str">
        <f ca="1">IFERROR(__xludf.DUMMYFUNCTION("GOOGLETRANSLATE(C3798,""en"",""hr"")"),"Klip")</f>
        <v>Klip</v>
      </c>
    </row>
    <row r="2743" spans="1:2" x14ac:dyDescent="0.2">
      <c r="A2743" s="21" t="s">
        <v>1182</v>
      </c>
      <c r="B2743" s="18" t="str">
        <f ca="1">IFERROR(__xludf.DUMMYFUNCTION("GOOGLETRANSLATE(C3796,""en"",""hr"")"),"Perilica")</f>
        <v>Perilica</v>
      </c>
    </row>
    <row r="2744" spans="1:2" x14ac:dyDescent="0.2">
      <c r="A2744" s="21" t="s">
        <v>38</v>
      </c>
      <c r="B2744" s="18" t="str">
        <f ca="1">IFERROR(__xludf.DUMMYFUNCTION("GOOGLETRANSLATE(C54,""en"",""hr"")"),"Filter za vodu")</f>
        <v>Filter za vodu</v>
      </c>
    </row>
    <row r="2745" spans="1:2" x14ac:dyDescent="0.2">
      <c r="A2745" s="21" t="s">
        <v>1286</v>
      </c>
      <c r="B2745" s="18" t="str">
        <f ca="1">IFERROR(__xludf.DUMMYFUNCTION("GOOGLETRANSLATE(C4019,""en"",""hr"")"),"O-prsten")</f>
        <v>O-prsten</v>
      </c>
    </row>
    <row r="2746" spans="1:2" x14ac:dyDescent="0.2">
      <c r="A2746" s="21" t="s">
        <v>1299</v>
      </c>
      <c r="B2746" s="18" t="str">
        <f ca="1">IFERROR(__xludf.DUMMYFUNCTION("GOOGLETRANSLATE(C4038,""en"",""hr"")"),"Zagrada")</f>
        <v>Zagrada</v>
      </c>
    </row>
    <row r="2747" spans="1:2" x14ac:dyDescent="0.2">
      <c r="A2747" s="21" t="s">
        <v>1278</v>
      </c>
      <c r="B2747" s="18" t="str">
        <f ca="1">IFERROR(__xludf.DUMMYFUNCTION("GOOGLETRANSLATE(C4011,""en"",""hr"")"),"Dijafragma")</f>
        <v>Dijafragma</v>
      </c>
    </row>
    <row r="2748" spans="1:2" x14ac:dyDescent="0.2">
      <c r="A2748" s="21" t="s">
        <v>1293</v>
      </c>
      <c r="B2748" s="18" t="str">
        <f ca="1">IFERROR(__xludf.DUMMYFUNCTION("GOOGLETRANSLATE(C4028,""en"",""hr"")"),"Pregača dijafragme")</f>
        <v>Pregača dijafragme</v>
      </c>
    </row>
    <row r="2749" spans="1:2" x14ac:dyDescent="0.2">
      <c r="A2749" s="21" t="s">
        <v>1294</v>
      </c>
      <c r="B2749" s="18" t="str">
        <f ca="1">IFERROR(__xludf.DUMMYFUNCTION("GOOGLETRANSLATE(C4029,""en"",""hr"")"),"Dijafragma")</f>
        <v>Dijafragma</v>
      </c>
    </row>
    <row r="2750" spans="1:2" x14ac:dyDescent="0.2">
      <c r="A2750" s="21" t="s">
        <v>1295</v>
      </c>
      <c r="B2750" s="18" t="str">
        <f ca="1">IFERROR(__xludf.DUMMYFUNCTION("GOOGLETRANSLATE(C4030,""en"",""hr"")"),"Poklopac")</f>
        <v>Poklopac</v>
      </c>
    </row>
    <row r="2751" spans="1:2" x14ac:dyDescent="0.2">
      <c r="A2751" s="21" t="s">
        <v>1296</v>
      </c>
      <c r="B2751" s="18" t="str">
        <f ca="1">IFERROR(__xludf.DUMMYFUNCTION("GOOGLETRANSLATE(C4031,""en"",""hr"")"),"Ventil za zrak")</f>
        <v>Ventil za zrak</v>
      </c>
    </row>
    <row r="2752" spans="1:2" x14ac:dyDescent="0.2">
      <c r="A2752" s="21" t="s">
        <v>1297</v>
      </c>
      <c r="B2752" s="18" t="str">
        <f ca="1">IFERROR(__xludf.DUMMYFUNCTION("GOOGLETRANSLATE(C4032,""en"",""hr"")"),"brtva")</f>
        <v>brtva</v>
      </c>
    </row>
    <row r="2753" spans="1:2" x14ac:dyDescent="0.2">
      <c r="A2753" s="21" t="s">
        <v>1292</v>
      </c>
      <c r="B2753" s="18" t="str">
        <f ca="1">IFERROR(__xludf.DUMMYFUNCTION("GOOGLETRANSLATE(C4027,""en"",""hr"")"),"Stezni okvir")</f>
        <v>Stezni okvir</v>
      </c>
    </row>
    <row r="2754" spans="1:2" x14ac:dyDescent="0.2">
      <c r="A2754" s="21" t="s">
        <v>1291</v>
      </c>
      <c r="B2754" s="18" t="str">
        <f ca="1">IFERROR(__xludf.DUMMYFUNCTION("GOOGLETRANSLATE(C4025,""en"",""hr"")"),"Zagrada")</f>
        <v>Zagrada</v>
      </c>
    </row>
    <row r="2755" spans="1:2" x14ac:dyDescent="0.2">
      <c r="A2755" s="21" t="s">
        <v>1289</v>
      </c>
      <c r="B2755" s="18" t="str">
        <f ca="1">IFERROR(__xludf.DUMMYFUNCTION("GOOGLETRANSLATE(C4022,""en"",""hr"")"),"Glava pumpe")</f>
        <v>Glava pumpe</v>
      </c>
    </row>
    <row r="2756" spans="1:2" x14ac:dyDescent="0.2">
      <c r="A2756" s="21" t="s">
        <v>1274</v>
      </c>
      <c r="B2756" s="18" t="str">
        <f ca="1">IFERROR(__xludf.DUMMYFUNCTION("GOOGLETRANSLATE(C4007,""en"",""hr"")"),"Vidno staklo")</f>
        <v>Vidno staklo</v>
      </c>
    </row>
    <row r="2757" spans="1:2" x14ac:dyDescent="0.2">
      <c r="A2757" s="21" t="s">
        <v>1277</v>
      </c>
      <c r="B2757" s="18" t="str">
        <f ca="1">IFERROR(__xludf.DUMMYFUNCTION("GOOGLETRANSLATE(C4010,""en"",""hr"")"),"O-prsten")</f>
        <v>O-prsten</v>
      </c>
    </row>
    <row r="2758" spans="1:2" x14ac:dyDescent="0.2">
      <c r="A2758" s="21" t="s">
        <v>1272</v>
      </c>
      <c r="B2758" s="18" t="str">
        <f ca="1">IFERROR(__xludf.DUMMYFUNCTION("GOOGLETRANSLATE(C4005,""en"",""hr"")"),"Poklopac")</f>
        <v>Poklopac</v>
      </c>
    </row>
    <row r="2759" spans="1:2" x14ac:dyDescent="0.2">
      <c r="A2759" s="21" t="s">
        <v>1281</v>
      </c>
      <c r="B2759" s="18" t="str">
        <f ca="1">IFERROR(__xludf.DUMMYFUNCTION("GOOGLETRANSLATE(C4014,""en"",""hr"")"),"Cijev")</f>
        <v>Cijev</v>
      </c>
    </row>
    <row r="2760" spans="1:2" x14ac:dyDescent="0.2">
      <c r="A2760" s="21" t="s">
        <v>1279</v>
      </c>
      <c r="B2760" s="18" t="str">
        <f ca="1">IFERROR(__xludf.DUMMYFUNCTION("GOOGLETRANSLATE(C4012,""en"",""hr"")"),"Usisna cijev")</f>
        <v>Usisna cijev</v>
      </c>
    </row>
    <row r="2761" spans="1:2" x14ac:dyDescent="0.2">
      <c r="A2761" s="21" t="s">
        <v>1283</v>
      </c>
      <c r="B2761" s="18" t="str">
        <f ca="1">IFERROR(__xludf.DUMMYFUNCTION("GOOGLETRANSLATE(C4016,""en"",""hr"")"),"Okretna matica")</f>
        <v>Okretna matica</v>
      </c>
    </row>
    <row r="2762" spans="1:2" x14ac:dyDescent="0.2">
      <c r="A2762" s="21" t="s">
        <v>1284</v>
      </c>
      <c r="B2762" s="18" t="str">
        <f ca="1">IFERROR(__xludf.DUMMYFUNCTION("GOOGLETRANSLATE(C4017,""en"",""hr"")"),"Lakat")</f>
        <v>Lakat</v>
      </c>
    </row>
    <row r="2763" spans="1:2" x14ac:dyDescent="0.2">
      <c r="A2763" s="21" t="s">
        <v>1287</v>
      </c>
      <c r="B2763" s="18" t="str">
        <f ca="1">IFERROR(__xludf.DUMMYFUNCTION("GOOGLETRANSLATE(C4020,""en"",""hr"")"),"O-prsten")</f>
        <v>O-prsten</v>
      </c>
    </row>
    <row r="2764" spans="1:2" x14ac:dyDescent="0.2">
      <c r="A2764" s="21" t="s">
        <v>1248</v>
      </c>
      <c r="B2764" s="18" t="str">
        <f ca="1">IFERROR(__xludf.DUMMYFUNCTION("GOOGLETRANSLATE(C3954,""en"",""hr"")"),"Filter zaslon")</f>
        <v>Filter zaslon</v>
      </c>
    </row>
    <row r="2765" spans="1:2" x14ac:dyDescent="0.2">
      <c r="A2765" s="21" t="s">
        <v>1769</v>
      </c>
      <c r="B2765" s="18" t="str">
        <f ca="1">IFERROR(__xludf.DUMMYFUNCTION("GOOGLETRANSLATE(C6138,""en"",""hr"")"),"Nazubljena matica")</f>
        <v>Nazubljena matica</v>
      </c>
    </row>
    <row r="2766" spans="1:2" x14ac:dyDescent="0.2">
      <c r="A2766" s="21" t="s">
        <v>623</v>
      </c>
      <c r="B2766" s="18" t="str">
        <f ca="1">IFERROR(__xludf.DUMMYFUNCTION("GOOGLETRANSLATE(C1932,""en"",""hr"")"),"brtva")</f>
        <v>brtva</v>
      </c>
    </row>
    <row r="2767" spans="1:2" x14ac:dyDescent="0.2">
      <c r="A2767" s="21" t="s">
        <v>1191</v>
      </c>
      <c r="B2767" s="18" t="str">
        <f ca="1">IFERROR(__xludf.DUMMYFUNCTION("GOOGLETRANSLATE(C3805,""en"",""hr"")"),"Podloška 0,25 mm")</f>
        <v>Podloška 0,25 mm</v>
      </c>
    </row>
    <row r="2768" spans="1:2" x14ac:dyDescent="0.2">
      <c r="A2768" s="21" t="s">
        <v>1192</v>
      </c>
      <c r="B2768" s="18" t="str">
        <f ca="1">IFERROR(__xludf.DUMMYFUNCTION("GOOGLETRANSLATE(C3806,""en"",""hr"")"),"Podloška 0,05 mm")</f>
        <v>Podloška 0,05 mm</v>
      </c>
    </row>
    <row r="2769" spans="1:2" x14ac:dyDescent="0.2">
      <c r="A2769" s="21" t="s">
        <v>1298</v>
      </c>
      <c r="B2769" s="18" t="str">
        <f ca="1">IFERROR(__xludf.DUMMYFUNCTION("GOOGLETRANSLATE(C4035,""en"",""hr"")"),"Set za popravak")</f>
        <v>Set za popravak</v>
      </c>
    </row>
    <row r="2770" spans="1:2" x14ac:dyDescent="0.2">
      <c r="A2770" s="21" t="s">
        <v>1170</v>
      </c>
      <c r="B2770" s="18" t="str">
        <f ca="1">IFERROR(__xludf.DUMMYFUNCTION("GOOGLETRANSLATE(C3781,""en"",""hr"")"),"Hidraulička pumpa")</f>
        <v>Hidraulička pumpa</v>
      </c>
    </row>
    <row r="2771" spans="1:2" x14ac:dyDescent="0.2">
      <c r="A2771" s="21" t="s">
        <v>1171</v>
      </c>
      <c r="B2771" s="18" t="str">
        <f ca="1">IFERROR(__xludf.DUMMYFUNCTION("GOOGLETRANSLATE(C3782,""en"",""hr"")"),"Hidraulički motor")</f>
        <v>Hidraulički motor</v>
      </c>
    </row>
    <row r="2772" spans="1:2" x14ac:dyDescent="0.2">
      <c r="A2772" s="21" t="s">
        <v>1199</v>
      </c>
      <c r="B2772" s="18" t="str">
        <f ca="1">IFERROR(__xludf.DUMMYFUNCTION("GOOGLETRANSLATE(C3814,""en"",""hr"")"),"Ekscentrično vratilo")</f>
        <v>Ekscentrično vratilo</v>
      </c>
    </row>
    <row r="2773" spans="1:2" x14ac:dyDescent="0.2">
      <c r="A2773" s="21" t="s">
        <v>1200</v>
      </c>
      <c r="B2773" s="18" t="str">
        <f ca="1">IFERROR(__xludf.DUMMYFUNCTION("GOOGLETRANSLATE(C3815,""en"",""hr"")"),"Montažna prirubnica")</f>
        <v>Montažna prirubnica</v>
      </c>
    </row>
    <row r="2774" spans="1:2" x14ac:dyDescent="0.2">
      <c r="A2774" s="21" t="s">
        <v>1203</v>
      </c>
      <c r="B2774" s="18" t="str">
        <f ca="1">IFERROR(__xludf.DUMMYFUNCTION("GOOGLETRANSLATE(C3818,""en"",""hr"")"),"Set brtvila")</f>
        <v>Set brtvila</v>
      </c>
    </row>
    <row r="2775" spans="1:2" x14ac:dyDescent="0.2">
      <c r="A2775" s="21" t="s">
        <v>1173</v>
      </c>
      <c r="B2775" s="18" t="str">
        <f ca="1">IFERROR(__xludf.DUMMYFUNCTION("GOOGLETRANSLATE(C3784,""en"",""hr"")"),"Set brtvila")</f>
        <v>Set brtvila</v>
      </c>
    </row>
    <row r="2776" spans="1:2" x14ac:dyDescent="0.2">
      <c r="A2776" s="21" t="s">
        <v>1172</v>
      </c>
      <c r="B2776" s="18" t="str">
        <f ca="1">IFERROR(__xludf.DUMMYFUNCTION("GOOGLETRANSLATE(C3783,""en"",""hr"")"),"Klin")</f>
        <v>Klin</v>
      </c>
    </row>
    <row r="2777" spans="1:2" x14ac:dyDescent="0.2">
      <c r="A2777" s="21" t="s">
        <v>663</v>
      </c>
      <c r="B2777" s="18" t="str">
        <f ca="1">IFERROR(__xludf.DUMMYFUNCTION("GOOGLETRANSLATE(C2088,""en"",""hr"")"),"Set brtvila")</f>
        <v>Set brtvila</v>
      </c>
    </row>
    <row r="2778" spans="1:2" x14ac:dyDescent="0.2">
      <c r="A2778" s="21" t="s">
        <v>1120</v>
      </c>
      <c r="B2778" s="18" t="str">
        <f ca="1">IFERROR(__xludf.DUMMYFUNCTION("GOOGLETRANSLATE(C3655,""en"",""hr"")"),"Pritisak, prekidač")</f>
        <v>Pritisak, prekidač</v>
      </c>
    </row>
    <row r="2779" spans="1:2" x14ac:dyDescent="0.2">
      <c r="A2779" s="21" t="s">
        <v>1119</v>
      </c>
      <c r="B2779" s="18" t="str">
        <f ca="1">IFERROR(__xludf.DUMMYFUNCTION("GOOGLETRANSLATE(C3654,""en"",""hr"")"),"Glava pumpe")</f>
        <v>Glava pumpe</v>
      </c>
    </row>
    <row r="2780" spans="1:2" x14ac:dyDescent="0.2">
      <c r="A2780" s="21" t="s">
        <v>73</v>
      </c>
      <c r="B2780" s="18" t="str">
        <f ca="1">IFERROR(__xludf.DUMMYFUNCTION("GOOGLETRANSLATE(C180,""en"",""hr"")"),"Sigurnosni filter")</f>
        <v>Sigurnosni filter</v>
      </c>
    </row>
    <row r="2781" spans="1:2" x14ac:dyDescent="0.2">
      <c r="A2781" s="21" t="s">
        <v>74</v>
      </c>
      <c r="B2781" s="18" t="str">
        <f ca="1">IFERROR(__xludf.DUMMYFUNCTION("GOOGLETRANSLATE(C181,""en"",""hr"")"),"Element filtera")</f>
        <v>Element filtera</v>
      </c>
    </row>
    <row r="2782" spans="1:2" x14ac:dyDescent="0.2">
      <c r="A2782" s="21" t="s">
        <v>75</v>
      </c>
      <c r="B2782" s="18" t="str">
        <f ca="1">IFERROR(__xludf.DUMMYFUNCTION("GOOGLETRANSLATE(C182,""en"",""hr"")"),"Kuka za zaključavanje")</f>
        <v>Kuka za zaključavanje</v>
      </c>
    </row>
    <row r="2783" spans="1:2" x14ac:dyDescent="0.2">
      <c r="A2783" s="21" t="s">
        <v>124</v>
      </c>
      <c r="B2783" s="18" t="str">
        <f ca="1">IFERROR(__xludf.DUMMYFUNCTION("GOOGLETRANSLATE(C254,""en"",""hr"")"),"Filter motornog ulja")</f>
        <v>Filter motornog ulja</v>
      </c>
    </row>
    <row r="2784" spans="1:2" x14ac:dyDescent="0.2">
      <c r="A2784" s="21" t="s">
        <v>126</v>
      </c>
      <c r="B2784" s="18" t="str">
        <f ca="1">IFERROR(__xludf.DUMMYFUNCTION("GOOGLETRANSLATE(C256,""en"",""hr"")"),"Filter goriva")</f>
        <v>Filter goriva</v>
      </c>
    </row>
    <row r="2785" spans="1:2" x14ac:dyDescent="0.2">
      <c r="A2785" s="21" t="s">
        <v>1483</v>
      </c>
      <c r="B2785" s="18" t="str">
        <f ca="1">IFERROR(__xludf.DUMMYFUNCTION("GOOGLETRANSLATE(C4971,""en"",""hr"")"),"Kukica za kaput")</f>
        <v>Kukica za kaput</v>
      </c>
    </row>
    <row r="2786" spans="1:2" x14ac:dyDescent="0.2">
      <c r="A2786" s="21" t="s">
        <v>1288</v>
      </c>
      <c r="B2786" s="18" t="str">
        <f ca="1">IFERROR(__xludf.DUMMYFUNCTION("GOOGLETRANSLATE(C4021,""en"",""hr"")"),"Usisni / tlačni ventil")</f>
        <v>Usisni / tlačni ventil</v>
      </c>
    </row>
    <row r="2787" spans="1:2" x14ac:dyDescent="0.2">
      <c r="A2787" s="21" t="s">
        <v>244</v>
      </c>
      <c r="B2787" s="18" t="str">
        <f ca="1">IFERROR(__xludf.DUMMYFUNCTION("GOOGLETRANSLATE(C512,""en"",""hr"")"),"Kućište, kočnica")</f>
        <v>Kućište, kočnica</v>
      </c>
    </row>
    <row r="2788" spans="1:2" x14ac:dyDescent="0.2">
      <c r="A2788" s="21" t="s">
        <v>120</v>
      </c>
      <c r="B2788" s="18" t="str">
        <f ca="1">IFERROR(__xludf.DUMMYFUNCTION("GOOGLETRANSLATE(C250,""en"",""hr"")"),"Paket AdBlue filtera")</f>
        <v>Paket AdBlue filtera</v>
      </c>
    </row>
    <row r="2789" spans="1:2" x14ac:dyDescent="0.2">
      <c r="A2789" s="21" t="s">
        <v>504</v>
      </c>
      <c r="B2789" s="18" t="str">
        <f ca="1">IFERROR(__xludf.DUMMYFUNCTION("GOOGLETRANSLATE(C1250,""en"",""hr"")"),"mijehovi")</f>
        <v>mijehovi</v>
      </c>
    </row>
    <row r="2790" spans="1:2" x14ac:dyDescent="0.2">
      <c r="A2790" s="21" t="s">
        <v>121</v>
      </c>
      <c r="B2790" s="18" t="str">
        <f ca="1">IFERROR(__xludf.DUMMYFUNCTION("GOOGLETRANSLATE(C251,""en"",""hr"")"),"Poklopac filtera")</f>
        <v>Poklopac filtera</v>
      </c>
    </row>
    <row r="2791" spans="1:2" x14ac:dyDescent="0.2">
      <c r="A2791" s="21" t="s">
        <v>41</v>
      </c>
      <c r="B2791" s="18" t="str">
        <f ca="1">IFERROR(__xludf.DUMMYFUNCTION("GOOGLETRANSLATE(C57,""en"",""hr"")"),"Servisni kit HD vodena pumpa 1000h")</f>
        <v>Servisni kit HD vodena pumpa 1000h</v>
      </c>
    </row>
    <row r="2792" spans="1:2" x14ac:dyDescent="0.2">
      <c r="A2792" s="21" t="s">
        <v>29</v>
      </c>
      <c r="B2792" s="18" t="str">
        <f ca="1">IFERROR(__xludf.DUMMYFUNCTION("GOOGLETRANSLATE(C36,""en"",""hr"")"),"Poklopac")</f>
        <v>Poklopac</v>
      </c>
    </row>
    <row r="2793" spans="1:2" x14ac:dyDescent="0.2">
      <c r="A2793" s="21" t="s">
        <v>119</v>
      </c>
      <c r="B2793" s="18" t="str">
        <f ca="1">IFERROR(__xludf.DUMMYFUNCTION("GOOGLETRANSLATE(C249,""en"",""hr"")"),"Čep goriva")</f>
        <v>Čep goriva</v>
      </c>
    </row>
    <row r="2794" spans="1:2" x14ac:dyDescent="0.2">
      <c r="A2794" s="21" t="s">
        <v>1771</v>
      </c>
      <c r="B2794" s="18" t="str">
        <f ca="1">IFERROR(__xludf.DUMMYFUNCTION("GOOGLETRANSLATE(C6140,""en"",""hr"")"),"Solenoid")</f>
        <v>Solenoid</v>
      </c>
    </row>
    <row r="2795" spans="1:2" x14ac:dyDescent="0.2">
      <c r="A2795" s="21" t="s">
        <v>114</v>
      </c>
      <c r="B2795" s="18" t="str">
        <f ca="1">IFERROR(__xludf.DUMMYFUNCTION("GOOGLETRANSLATE(C232,""en"",""hr"")"),"Separator ulja")</f>
        <v>Separator ulja</v>
      </c>
    </row>
    <row r="2796" spans="1:2" x14ac:dyDescent="0.2">
      <c r="A2796" s="21" t="s">
        <v>115</v>
      </c>
      <c r="B2796" s="18" t="str">
        <f ca="1">IFERROR(__xludf.DUMMYFUNCTION("GOOGLETRANSLATE(C233,""en"",""hr"")"),"Poklopac glave brtve")</f>
        <v>Poklopac glave brtve</v>
      </c>
    </row>
    <row r="2797" spans="1:2" x14ac:dyDescent="0.2">
      <c r="A2797" s="21" t="s">
        <v>117</v>
      </c>
      <c r="B2797" s="18" t="str">
        <f ca="1">IFERROR(__xludf.DUMMYFUNCTION("GOOGLETRANSLATE(C235,""en"",""hr"")"),"Komplet cijevi za ubrizgavanje R754 EU6+ISE4 (3B)")</f>
        <v>Komplet cijevi za ubrizgavanje R754 EU6+ISE4 (3B)</v>
      </c>
    </row>
    <row r="2798" spans="1:2" x14ac:dyDescent="0.2">
      <c r="A2798" s="21" t="s">
        <v>26</v>
      </c>
      <c r="B2798" s="18" t="str">
        <f ca="1">IFERROR(__xludf.DUMMYFUNCTION("GOOGLETRANSLATE(C27,""en"",""hr"")"),"Filtarski uložak")</f>
        <v>Filtarski uložak</v>
      </c>
    </row>
    <row r="2799" spans="1:2" x14ac:dyDescent="0.2">
      <c r="A2799" s="21" t="s">
        <v>40</v>
      </c>
      <c r="B2799" s="18" t="str">
        <f ca="1">IFERROR(__xludf.DUMMYFUNCTION("GOOGLETRANSLATE(C56,""en"",""hr"")"),"Prigušivač vibracija (četiri komada uključena)!")</f>
        <v>Prigušivač vibracija (četiri komada uključena)!</v>
      </c>
    </row>
    <row r="2800" spans="1:2" x14ac:dyDescent="0.2">
      <c r="A2800" s="21" t="s">
        <v>46</v>
      </c>
      <c r="B2800" s="18" t="str">
        <f ca="1">IFERROR(__xludf.DUMMYFUNCTION("GOOGLETRANSLATE(C74,""en"",""hr"")"),"Matica kotača")</f>
        <v>Matica kotača</v>
      </c>
    </row>
    <row r="2801" spans="1:2" x14ac:dyDescent="0.2">
      <c r="A2801" s="21" t="s">
        <v>1587</v>
      </c>
      <c r="B2801" s="18" t="str">
        <f ca="1">IFERROR(__xludf.DUMMYFUNCTION("GOOGLETRANSLATE(C5367,""en"",""hr"")"),"Vijak, slavina")</f>
        <v>Vijak, slavina</v>
      </c>
    </row>
    <row r="2802" spans="1:2" x14ac:dyDescent="0.2">
      <c r="A2802" s="21" t="s">
        <v>1897</v>
      </c>
      <c r="B2802" s="18" t="str">
        <f ca="1">IFERROR(__xludf.DUMMYFUNCTION("GOOGLETRANSLATE(C6620,""en"",""hr"")"),"Vijak, slavina")</f>
        <v>Vijak, slavina</v>
      </c>
    </row>
    <row r="2803" spans="1:2" x14ac:dyDescent="0.2">
      <c r="A2803" s="21" t="s">
        <v>1908</v>
      </c>
      <c r="B2803" s="18" t="str">
        <f ca="1">IFERROR(__xludf.DUMMYFUNCTION("GOOGLETRANSLATE(C6654,""en"",""hr"")"),"Vijak, slavina")</f>
        <v>Vijak, slavina</v>
      </c>
    </row>
    <row r="2804" spans="1:2" x14ac:dyDescent="0.2">
      <c r="A2804" s="21" t="s">
        <v>1632</v>
      </c>
      <c r="B2804" s="18" t="str">
        <f ca="1">IFERROR(__xludf.DUMMYFUNCTION("GOOGLETRANSLATE(C5493,""en"",""hr"")"),"Vijak, slavina")</f>
        <v>Vijak, slavina</v>
      </c>
    </row>
    <row r="2805" spans="1:2" x14ac:dyDescent="0.2">
      <c r="A2805" s="21" t="s">
        <v>1837</v>
      </c>
      <c r="B2805" s="18" t="str">
        <f ca="1">IFERROR(__xludf.DUMMYFUNCTION("GOOGLETRANSLATE(C6430,""en"",""hr"")"),"Vijak, slavina")</f>
        <v>Vijak, slavina</v>
      </c>
    </row>
    <row r="2806" spans="1:2" x14ac:dyDescent="0.2">
      <c r="A2806" s="21" t="s">
        <v>1838</v>
      </c>
      <c r="B2806" s="18" t="str">
        <f ca="1">IFERROR(__xludf.DUMMYFUNCTION("GOOGLETRANSLATE(C6431,""en"",""hr"")"),"Vijak, slavina")</f>
        <v>Vijak, slavina</v>
      </c>
    </row>
    <row r="2807" spans="1:2" x14ac:dyDescent="0.2">
      <c r="A2807" s="21" t="s">
        <v>1840</v>
      </c>
      <c r="B2807" s="18" t="str">
        <f ca="1">IFERROR(__xludf.DUMMYFUNCTION("GOOGLETRANSLATE(C6433,""en"",""hr"")"),"Vijak, slavina")</f>
        <v>Vijak, slavina</v>
      </c>
    </row>
    <row r="2808" spans="1:2" x14ac:dyDescent="0.2">
      <c r="A2808" s="21" t="s">
        <v>1481</v>
      </c>
      <c r="B2808" s="18" t="str">
        <f ca="1">IFERROR(__xludf.DUMMYFUNCTION("GOOGLETRANSLATE(C4969,""en"",""hr"")"),"Vijak")</f>
        <v>Vijak</v>
      </c>
    </row>
    <row r="2809" spans="1:2" x14ac:dyDescent="0.2">
      <c r="A2809" s="21" t="s">
        <v>1906</v>
      </c>
      <c r="B2809" s="18" t="str">
        <f ca="1">IFERROR(__xludf.DUMMYFUNCTION("GOOGLETRANSLATE(C6644,""en"",""hr"")"),"Magnetski prsten")</f>
        <v>Magnetski prsten</v>
      </c>
    </row>
    <row r="2810" spans="1:2" x14ac:dyDescent="0.2">
      <c r="A2810" s="21" t="s">
        <v>1025</v>
      </c>
      <c r="B2810" s="18" t="str">
        <f ca="1">IFERROR(__xludf.DUMMYFUNCTION("GOOGLETRANSLATE(C3331,""en"",""hr"")"),"Valjak")</f>
        <v>Valjak</v>
      </c>
    </row>
    <row r="2811" spans="1:2" x14ac:dyDescent="0.2">
      <c r="A2811" s="21" t="s">
        <v>1219</v>
      </c>
      <c r="B2811" s="18" t="str">
        <f ca="1">IFERROR(__xludf.DUMMYFUNCTION("GOOGLETRANSLATE(C3857,""en"",""hr"")"),"Koplje visokog pritiska")</f>
        <v>Koplje visokog pritiska</v>
      </c>
    </row>
    <row r="2812" spans="1:2" x14ac:dyDescent="0.2">
      <c r="A2812" s="21" t="s">
        <v>545</v>
      </c>
      <c r="B2812" s="18" t="str">
        <f ca="1">IFERROR(__xludf.DUMMYFUNCTION("GOOGLETRANSLATE(C1456,""en"",""hr"")"),"Gumeni držač")</f>
        <v>Gumeni držač</v>
      </c>
    </row>
    <row r="2813" spans="1:2" x14ac:dyDescent="0.2">
      <c r="A2813" s="21" t="s">
        <v>546</v>
      </c>
      <c r="B2813" s="18" t="str">
        <f ca="1">IFERROR(__xludf.DUMMYFUNCTION("GOOGLETRANSLATE(C1457,""en"",""hr"")"),"Gumeni držač")</f>
        <v>Gumeni držač</v>
      </c>
    </row>
    <row r="2814" spans="1:2" x14ac:dyDescent="0.2">
      <c r="A2814" s="21" t="s">
        <v>1532</v>
      </c>
      <c r="B2814" s="18" t="str">
        <f ca="1">IFERROR(__xludf.DUMMYFUNCTION("GOOGLETRANSLATE(C5187,""en"",""hr"")"),"Razdjelnik zraka")</f>
        <v>Razdjelnik zraka</v>
      </c>
    </row>
    <row r="2815" spans="1:2" x14ac:dyDescent="0.2">
      <c r="A2815" s="21" t="s">
        <v>33</v>
      </c>
      <c r="B2815" s="18" t="str">
        <f ca="1">IFERROR(__xludf.DUMMYFUNCTION("GOOGLETRANSLATE(C44,""en"",""hr"")"),"Širokokutni retrovizor")</f>
        <v>Širokokutni retrovizor</v>
      </c>
    </row>
    <row r="2816" spans="1:2" x14ac:dyDescent="0.2">
      <c r="A2816" s="21" t="s">
        <v>1517</v>
      </c>
      <c r="B2816" s="18" t="str">
        <f ca="1">IFERROR(__xludf.DUMMYFUNCTION("GOOGLETRANSLATE(C5147,""en"",""hr"")"),"Ventil nadtlaka")</f>
        <v>Ventil nadtlaka</v>
      </c>
    </row>
    <row r="2817" spans="1:2" x14ac:dyDescent="0.2">
      <c r="A2817" s="21" t="s">
        <v>32</v>
      </c>
      <c r="B2817" s="18" t="str">
        <f ca="1">IFERROR(__xludf.DUMMYFUNCTION("GOOGLETRANSLATE(C41,""en"",""hr"")"),"Ogledalo")</f>
        <v>Ogledalo</v>
      </c>
    </row>
    <row r="2818" spans="1:2" x14ac:dyDescent="0.2">
      <c r="A2818" s="21" t="s">
        <v>1527</v>
      </c>
      <c r="B2818" s="18" t="str">
        <f ca="1">IFERROR(__xludf.DUMMYFUNCTION("GOOGLETRANSLATE(C5176,""en"",""hr"")"),"Zaklopka za pritisak")</f>
        <v>Zaklopka za pritisak</v>
      </c>
    </row>
    <row r="2819" spans="1:2" x14ac:dyDescent="0.2">
      <c r="A2819" s="21" t="s">
        <v>1528</v>
      </c>
      <c r="B2819" s="18" t="str">
        <f ca="1">IFERROR(__xludf.DUMMYFUNCTION("GOOGLETRANSLATE(C5177,""en"",""hr"")"),"Uklapanje")</f>
        <v>Uklapanje</v>
      </c>
    </row>
    <row r="2820" spans="1:2" x14ac:dyDescent="0.2">
      <c r="A2820" s="21" t="s">
        <v>1099</v>
      </c>
      <c r="B2820" s="18" t="str">
        <f ca="1">IFERROR(__xludf.DUMMYFUNCTION("GOOGLETRANSLATE(C3556,""en"",""hr"")"),"Nazuvica za crijevo")</f>
        <v>Nazuvica za crijevo</v>
      </c>
    </row>
    <row r="2821" spans="1:2" x14ac:dyDescent="0.2">
      <c r="A2821" s="21" t="s">
        <v>1904</v>
      </c>
      <c r="B2821" s="18" t="str">
        <f ca="1">IFERROR(__xludf.DUMMYFUNCTION("GOOGLETRANSLATE(C6639,""en"",""hr"")"),"Vijak s nazubljenom glavom")</f>
        <v>Vijak s nazubljenom glavom</v>
      </c>
    </row>
    <row r="2822" spans="1:2" x14ac:dyDescent="0.2">
      <c r="A2822" s="21" t="s">
        <v>390</v>
      </c>
      <c r="B2822" s="18" t="str">
        <f ca="1">IFERROR(__xludf.DUMMYFUNCTION("GOOGLETRANSLATE(C915,""en"",""hr"")"),"Držač")</f>
        <v>Držač</v>
      </c>
    </row>
    <row r="2823" spans="1:2" x14ac:dyDescent="0.2">
      <c r="A2823" s="21" t="s">
        <v>1216</v>
      </c>
      <c r="B2823" s="18" t="str">
        <f ca="1">IFERROR(__xludf.DUMMYFUNCTION("GOOGLETRANSLATE(C3850,""en"",""hr"")"),"Veza")</f>
        <v>Veza</v>
      </c>
    </row>
    <row r="2824" spans="1:2" x14ac:dyDescent="0.2">
      <c r="A2824" s="21" t="s">
        <v>1215</v>
      </c>
      <c r="B2824" s="18" t="str">
        <f ca="1">IFERROR(__xludf.DUMMYFUNCTION("GOOGLETRANSLATE(C3847,""en"",""hr"")"),"Ravni uvrtni vijčani spoj")</f>
        <v>Ravni uvrtni vijčani spoj</v>
      </c>
    </row>
    <row r="2825" spans="1:2" x14ac:dyDescent="0.2">
      <c r="A2825" s="21" t="s">
        <v>1318</v>
      </c>
      <c r="B2825" s="18" t="str">
        <f ca="1">IFERROR(__xludf.DUMMYFUNCTION("GOOGLETRANSLATE(C4155,""en"",""hr"")"),"Ravni uvrtni vijčani spoj")</f>
        <v>Ravni uvrtni vijčani spoj</v>
      </c>
    </row>
    <row r="2826" spans="1:2" x14ac:dyDescent="0.2">
      <c r="A2826" s="21" t="s">
        <v>1157</v>
      </c>
      <c r="B2826" s="18" t="str">
        <f ca="1">IFERROR(__xludf.DUMMYFUNCTION("GOOGLETRANSLATE(C3758,""en"",""hr"")"),"Adapter")</f>
        <v>Adapter</v>
      </c>
    </row>
    <row r="2827" spans="1:2" x14ac:dyDescent="0.2">
      <c r="A2827" s="21" t="s">
        <v>907</v>
      </c>
      <c r="B2827" s="18" t="str">
        <f ca="1">IFERROR(__xludf.DUMMYFUNCTION("GOOGLETRANSLATE(C2703,""en"",""hr"")"),"Ravni uvrtni vijčani spoj")</f>
        <v>Ravni uvrtni vijčani spoj</v>
      </c>
    </row>
    <row r="2828" spans="1:2" x14ac:dyDescent="0.2">
      <c r="A2828" s="21" t="s">
        <v>1209</v>
      </c>
      <c r="B2828" s="18" t="str">
        <f ca="1">IFERROR(__xludf.DUMMYFUNCTION("GOOGLETRANSLATE(C3834,""en"",""hr"")"),"Okov-t")</f>
        <v>Okov-t</v>
      </c>
    </row>
    <row r="2829" spans="1:2" x14ac:dyDescent="0.2">
      <c r="A2829" s="21" t="s">
        <v>1250</v>
      </c>
      <c r="B2829" s="18" t="str">
        <f ca="1">IFERROR(__xludf.DUMMYFUNCTION("GOOGLETRANSLATE(C3956,""en"",""hr"")"),"Okretna matica 1 1/2""")</f>
        <v>Okretna matica 1 1/2"</v>
      </c>
    </row>
    <row r="2830" spans="1:2" x14ac:dyDescent="0.2">
      <c r="A2830" s="21" t="s">
        <v>1145</v>
      </c>
      <c r="B2830" s="18" t="str">
        <f ca="1">IFERROR(__xludf.DUMMYFUNCTION("GOOGLETRANSLATE(C3708,""en"",""hr"")"),"Orah")</f>
        <v>Orah</v>
      </c>
    </row>
    <row r="2831" spans="1:2" x14ac:dyDescent="0.2">
      <c r="A2831" s="21" t="s">
        <v>1243</v>
      </c>
      <c r="B2831" s="18" t="str">
        <f ca="1">IFERROR(__xludf.DUMMYFUNCTION("GOOGLETRANSLATE(C3948,""en"",""hr"")"),"brtva")</f>
        <v>brtva</v>
      </c>
    </row>
    <row r="2832" spans="1:2" x14ac:dyDescent="0.2">
      <c r="A2832" s="21" t="s">
        <v>1208</v>
      </c>
      <c r="B2832" s="18" t="str">
        <f ca="1">IFERROR(__xludf.DUMMYFUNCTION("GOOGLETRANSLATE(C3830,""en"",""hr"")"),"brtva")</f>
        <v>brtva</v>
      </c>
    </row>
    <row r="2833" spans="1:2" x14ac:dyDescent="0.2">
      <c r="A2833" s="21" t="s">
        <v>511</v>
      </c>
      <c r="B2833" s="18" t="str">
        <f ca="1">IFERROR(__xludf.DUMMYFUNCTION("GOOGLETRANSLATE(C1300,""en"",""hr"")"),"Banjo vijak")</f>
        <v>Banjo vijak</v>
      </c>
    </row>
    <row r="2834" spans="1:2" x14ac:dyDescent="0.2">
      <c r="A2834" s="21" t="s">
        <v>510</v>
      </c>
      <c r="B2834" s="18" t="str">
        <f ca="1">IFERROR(__xludf.DUMMYFUNCTION("GOOGLETRANSLATE(C1299,""en"",""hr"")"),"Nazuvica za crijevo")</f>
        <v>Nazuvica za crijevo</v>
      </c>
    </row>
    <row r="2835" spans="1:2" x14ac:dyDescent="0.2">
      <c r="A2835" s="21" t="s">
        <v>720</v>
      </c>
      <c r="B2835" s="18" t="str">
        <f ca="1">IFERROR(__xludf.DUMMYFUNCTION("GOOGLETRANSLATE(C2274,""en"",""hr"")"),"Zglobna lopta")</f>
        <v>Zglobna lopta</v>
      </c>
    </row>
    <row r="2836" spans="1:2" x14ac:dyDescent="0.2">
      <c r="A2836" s="21" t="s">
        <v>726</v>
      </c>
      <c r="B2836" s="18" t="str">
        <f ca="1">IFERROR(__xludf.DUMMYFUNCTION("GOOGLETRANSLATE(C2285,""en"",""hr"")"),"Zglobna lopta")</f>
        <v>Zglobna lopta</v>
      </c>
    </row>
    <row r="2837" spans="1:2" x14ac:dyDescent="0.2">
      <c r="A2837" s="21" t="s">
        <v>729</v>
      </c>
      <c r="B2837" s="18" t="str">
        <f ca="1">IFERROR(__xludf.DUMMYFUNCTION("GOOGLETRANSLATE(C2288,""en"",""hr"")"),"Zglobna lopta")</f>
        <v>Zglobna lopta</v>
      </c>
    </row>
    <row r="2838" spans="1:2" x14ac:dyDescent="0.2">
      <c r="A2838" s="21" t="s">
        <v>715</v>
      </c>
      <c r="B2838" s="18" t="str">
        <f ca="1">IFERROR(__xludf.DUMMYFUNCTION("GOOGLETRANSLATE(C2259,""en"",""hr"")"),"Zglobna lopta")</f>
        <v>Zglobna lopta</v>
      </c>
    </row>
    <row r="2839" spans="1:2" x14ac:dyDescent="0.2">
      <c r="A2839" s="21" t="s">
        <v>1485</v>
      </c>
      <c r="B2839" s="18" t="str">
        <f ca="1">IFERROR(__xludf.DUMMYFUNCTION("GOOGLETRANSLATE(C4973,""en"",""hr"")"),"Grommet")</f>
        <v>Grommet</v>
      </c>
    </row>
    <row r="2840" spans="1:2" x14ac:dyDescent="0.2">
      <c r="A2840" s="21" t="s">
        <v>1907</v>
      </c>
      <c r="B2840" s="18" t="str">
        <f ca="1">IFERROR(__xludf.DUMMYFUNCTION("GOOGLETRANSLATE(C6648,""en"",""hr"")"),"Čahura kabela")</f>
        <v>Čahura kabela</v>
      </c>
    </row>
    <row r="2841" spans="1:2" x14ac:dyDescent="0.2">
      <c r="A2841" s="21" t="s">
        <v>1575</v>
      </c>
      <c r="B2841" s="18" t="str">
        <f ca="1">IFERROR(__xludf.DUMMYFUNCTION("GOOGLETRANSLATE(C5337,""en"",""hr"")"),"Grommet")</f>
        <v>Grommet</v>
      </c>
    </row>
    <row r="2842" spans="1:2" x14ac:dyDescent="0.2">
      <c r="A2842" s="21" t="s">
        <v>275</v>
      </c>
      <c r="B2842" s="18" t="str">
        <f ca="1">IFERROR(__xludf.DUMMYFUNCTION("GOOGLETRANSLATE(C606,""en"",""hr"")"),"Proljetni klip")</f>
        <v>Proljetni klip</v>
      </c>
    </row>
    <row r="2843" spans="1:2" x14ac:dyDescent="0.2">
      <c r="A2843" s="21" t="s">
        <v>1478</v>
      </c>
      <c r="B2843" s="18" t="str">
        <f ca="1">IFERROR(__xludf.DUMMYFUNCTION("GOOGLETRANSLATE(C4963,""en"",""hr"")"),"Rog")</f>
        <v>Rog</v>
      </c>
    </row>
    <row r="2844" spans="1:2" x14ac:dyDescent="0.2">
      <c r="A2844" s="21" t="s">
        <v>1834</v>
      </c>
      <c r="B2844" s="18" t="str">
        <f ca="1">IFERROR(__xludf.DUMMYFUNCTION("GOOGLETRANSLATE(C6419,""en"",""hr"")"),"Sirena za vožnju unazad")</f>
        <v>Sirena za vožnju unazad</v>
      </c>
    </row>
    <row r="2845" spans="1:2" x14ac:dyDescent="0.2">
      <c r="A2845" s="21" t="s">
        <v>1848</v>
      </c>
      <c r="B2845" s="18" t="str">
        <f ca="1">IFERROR(__xludf.DUMMYFUNCTION("GOOGLETRANSLATE(C6458,""en"",""hr"")"),"Osigurač")</f>
        <v>Osigurač</v>
      </c>
    </row>
    <row r="2846" spans="1:2" x14ac:dyDescent="0.2">
      <c r="A2846" s="21" t="s">
        <v>830</v>
      </c>
      <c r="B2846" s="18" t="str">
        <f ca="1">IFERROR(__xludf.DUMMYFUNCTION("GOOGLETRANSLATE(C2488,""en"",""hr"")"),"Koljenasti vijčani spoj")</f>
        <v>Koljenasti vijčani spoj</v>
      </c>
    </row>
    <row r="2847" spans="1:2" x14ac:dyDescent="0.2">
      <c r="A2847" s="21" t="s">
        <v>1241</v>
      </c>
      <c r="B2847" s="18" t="str">
        <f ca="1">IFERROR(__xludf.DUMMYFUNCTION("GOOGLETRANSLATE(C3938,""en"",""hr"")"),"Priključak")</f>
        <v>Priključak</v>
      </c>
    </row>
    <row r="2848" spans="1:2" x14ac:dyDescent="0.2">
      <c r="A2848" s="21" t="s">
        <v>1436</v>
      </c>
      <c r="B2848" s="18" t="str">
        <f ca="1">IFERROR(__xludf.DUMMYFUNCTION("GOOGLETRANSLATE(C4679,""en"",""hr"")"),"Krimp kontakt")</f>
        <v>Krimp kontakt</v>
      </c>
    </row>
    <row r="2849" spans="1:2" x14ac:dyDescent="0.2">
      <c r="A2849" s="21" t="s">
        <v>1513</v>
      </c>
      <c r="B2849" s="18" t="str">
        <f ca="1">IFERROR(__xludf.DUMMYFUNCTION("GOOGLETRANSLATE(C5121,""en"",""hr"")"),"Čahura")</f>
        <v>Čahura</v>
      </c>
    </row>
    <row r="2850" spans="1:2" x14ac:dyDescent="0.2">
      <c r="A2850" s="21" t="s">
        <v>1512</v>
      </c>
      <c r="B2850" s="18" t="str">
        <f ca="1">IFERROR(__xludf.DUMMYFUNCTION("GOOGLETRANSLATE(C5120,""en"",""hr"")"),"Klin za zaključavanje")</f>
        <v>Klin za zaključavanje</v>
      </c>
    </row>
    <row r="2851" spans="1:2" x14ac:dyDescent="0.2">
      <c r="A2851" s="21" t="s">
        <v>1437</v>
      </c>
      <c r="B2851" s="18" t="str">
        <f ca="1">IFERROR(__xludf.DUMMYFUNCTION("GOOGLETRANSLATE(C4680,""en"",""hr"")"),"Klin za zaključavanje")</f>
        <v>Klin za zaključavanje</v>
      </c>
    </row>
    <row r="2852" spans="1:2" x14ac:dyDescent="0.2">
      <c r="A2852" s="21" t="s">
        <v>718</v>
      </c>
      <c r="B2852" s="18" t="str">
        <f ca="1">IFERROR(__xludf.DUMMYFUNCTION("GOOGLETRANSLATE(C2269,""en"",""hr"")"),"Podmazivač")</f>
        <v>Podmazivač</v>
      </c>
    </row>
    <row r="2853" spans="1:2" x14ac:dyDescent="0.2">
      <c r="A2853" s="21" t="s">
        <v>326</v>
      </c>
      <c r="B2853" s="18" t="str">
        <f ca="1">IFERROR(__xludf.DUMMYFUNCTION("GOOGLETRANSLATE(C736,""en"",""hr"")"),"Orah")</f>
        <v>Orah</v>
      </c>
    </row>
    <row r="2854" spans="1:2" x14ac:dyDescent="0.2">
      <c r="A2854" s="21" t="s">
        <v>723</v>
      </c>
      <c r="B2854" s="18" t="str">
        <f ca="1">IFERROR(__xludf.DUMMYFUNCTION("GOOGLETRANSLATE(C2280,""en"",""hr"")"),"Orah")</f>
        <v>Orah</v>
      </c>
    </row>
    <row r="2855" spans="1:2" x14ac:dyDescent="0.2">
      <c r="A2855" s="21" t="s">
        <v>319</v>
      </c>
      <c r="B2855" s="18" t="str">
        <f ca="1">IFERROR(__xludf.DUMMYFUNCTION("GOOGLETRANSLATE(C724,""en"",""hr"")"),"Orah")</f>
        <v>Orah</v>
      </c>
    </row>
    <row r="2856" spans="1:2" x14ac:dyDescent="0.2">
      <c r="A2856" s="21" t="s">
        <v>652</v>
      </c>
      <c r="B2856" s="18" t="str">
        <f ca="1">IFERROR(__xludf.DUMMYFUNCTION("GOOGLETRANSLATE(C2038,""en"",""hr"")"),"Orah")</f>
        <v>Orah</v>
      </c>
    </row>
    <row r="2857" spans="1:2" x14ac:dyDescent="0.2">
      <c r="A2857" s="21" t="s">
        <v>634</v>
      </c>
      <c r="B2857" s="18" t="str">
        <f ca="1">IFERROR(__xludf.DUMMYFUNCTION("GOOGLETRANSLATE(C1949,""en"",""hr"")"),"Orah")</f>
        <v>Orah</v>
      </c>
    </row>
    <row r="2858" spans="1:2" x14ac:dyDescent="0.2">
      <c r="A2858" s="21" t="s">
        <v>724</v>
      </c>
      <c r="B2858" s="18" t="str">
        <f ca="1">IFERROR(__xludf.DUMMYFUNCTION("GOOGLETRANSLATE(C2283,""en"",""hr"")"),"Zaustavna matica")</f>
        <v>Zaustavna matica</v>
      </c>
    </row>
    <row r="2859" spans="1:2" x14ac:dyDescent="0.2">
      <c r="A2859" s="21" t="s">
        <v>727</v>
      </c>
      <c r="B2859" s="18" t="str">
        <f ca="1">IFERROR(__xludf.DUMMYFUNCTION("GOOGLETRANSLATE(C2286,""en"",""hr"")"),"Sigurnosna matica")</f>
        <v>Sigurnosna matica</v>
      </c>
    </row>
    <row r="2860" spans="1:2" x14ac:dyDescent="0.2">
      <c r="A2860" s="21" t="s">
        <v>725</v>
      </c>
      <c r="B2860" s="18" t="str">
        <f ca="1">IFERROR(__xludf.DUMMYFUNCTION("GOOGLETRANSLATE(C2284,""en"",""hr"")"),"Orah")</f>
        <v>Orah</v>
      </c>
    </row>
    <row r="2861" spans="1:2" x14ac:dyDescent="0.2">
      <c r="A2861" s="21" t="s">
        <v>732</v>
      </c>
      <c r="B2861" s="18" t="str">
        <f ca="1">IFERROR(__xludf.DUMMYFUNCTION("GOOGLETRANSLATE(C2299,""en"",""hr"")"),"Orah")</f>
        <v>Orah</v>
      </c>
    </row>
    <row r="2862" spans="1:2" x14ac:dyDescent="0.2">
      <c r="A2862" s="21" t="s">
        <v>706</v>
      </c>
      <c r="B2862" s="18" t="str">
        <f ca="1">IFERROR(__xludf.DUMMYFUNCTION("GOOGLETRANSLATE(C2229,""en"",""hr"")"),"Orah")</f>
        <v>Orah</v>
      </c>
    </row>
    <row r="2863" spans="1:2" x14ac:dyDescent="0.2">
      <c r="A2863" s="21" t="s">
        <v>709</v>
      </c>
      <c r="B2863" s="18" t="str">
        <f ca="1">IFERROR(__xludf.DUMMYFUNCTION("GOOGLETRANSLATE(C2241,""en"",""hr"")"),"Samosigurnosna matica")</f>
        <v>Samosigurnosna matica</v>
      </c>
    </row>
    <row r="2864" spans="1:2" x14ac:dyDescent="0.2">
      <c r="A2864" s="21" t="s">
        <v>1447</v>
      </c>
      <c r="B2864" s="18" t="str">
        <f ca="1">IFERROR(__xludf.DUMMYFUNCTION("GOOGLETRANSLATE(C4721,""en"",""hr"")"),"Slijepa zakivna matica")</f>
        <v>Slijepa zakivna matica</v>
      </c>
    </row>
    <row r="2865" spans="1:2" x14ac:dyDescent="0.2">
      <c r="A2865" s="21" t="s">
        <v>1446</v>
      </c>
      <c r="B2865" s="18" t="str">
        <f ca="1">IFERROR(__xludf.DUMMYFUNCTION("GOOGLETRANSLATE(C4714,""en"",""hr"")"),"Slijepa zakivna matica")</f>
        <v>Slijepa zakivna matica</v>
      </c>
    </row>
    <row r="2866" spans="1:2" x14ac:dyDescent="0.2">
      <c r="A2866" s="21" t="s">
        <v>1580</v>
      </c>
      <c r="B2866" s="18" t="str">
        <f ca="1">IFERROR(__xludf.DUMMYFUNCTION("GOOGLETRANSLATE(C5351,""en"",""hr"")"),"Prekidač")</f>
        <v>Prekidač</v>
      </c>
    </row>
    <row r="2867" spans="1:2" x14ac:dyDescent="0.2">
      <c r="A2867" s="21" t="s">
        <v>1579</v>
      </c>
      <c r="B2867" s="18" t="str">
        <f ca="1">IFERROR(__xludf.DUMMYFUNCTION("GOOGLETRANSLATE(C5350,""en"",""hr"")"),"Čahura")</f>
        <v>Čahura</v>
      </c>
    </row>
    <row r="2868" spans="1:2" x14ac:dyDescent="0.2">
      <c r="A2868" s="21" t="s">
        <v>196</v>
      </c>
      <c r="B2868" s="18" t="str">
        <f ca="1">IFERROR(__xludf.DUMMYFUNCTION("GOOGLETRANSLATE(C425,""en"",""hr"")"),"Disk za brtvljenje")</f>
        <v>Disk za brtvljenje</v>
      </c>
    </row>
    <row r="2869" spans="1:2" x14ac:dyDescent="0.2">
      <c r="A2869" s="21" t="s">
        <v>1154</v>
      </c>
      <c r="B2869" s="18" t="str">
        <f ca="1">IFERROR(__xludf.DUMMYFUNCTION("GOOGLETRANSLATE(C3753,""en"",""hr"")"),"brtva")</f>
        <v>brtva</v>
      </c>
    </row>
    <row r="2870" spans="1:2" x14ac:dyDescent="0.2">
      <c r="A2870" s="21" t="s">
        <v>1156</v>
      </c>
      <c r="B2870" s="18" t="str">
        <f ca="1">IFERROR(__xludf.DUMMYFUNCTION("GOOGLETRANSLATE(C3757,""en"",""hr"")"),"brtva")</f>
        <v>brtva</v>
      </c>
    </row>
    <row r="2871" spans="1:2" x14ac:dyDescent="0.2">
      <c r="A2871" s="21" t="s">
        <v>1162</v>
      </c>
      <c r="B2871" s="18" t="str">
        <f ca="1">IFERROR(__xludf.DUMMYFUNCTION("GOOGLETRANSLATE(C3769,""en"",""hr"")"),"brtva")</f>
        <v>brtva</v>
      </c>
    </row>
    <row r="2872" spans="1:2" x14ac:dyDescent="0.2">
      <c r="A2872" s="21" t="s">
        <v>512</v>
      </c>
      <c r="B2872" s="18" t="str">
        <f ca="1">IFERROR(__xludf.DUMMYFUNCTION("GOOGLETRANSLATE(C1301,""en"",""hr"")"),"brtva")</f>
        <v>brtva</v>
      </c>
    </row>
    <row r="2873" spans="1:2" x14ac:dyDescent="0.2">
      <c r="A2873" s="21" t="s">
        <v>1862</v>
      </c>
      <c r="B2873" s="18" t="str">
        <f ca="1">IFERROR(__xludf.DUMMYFUNCTION("GOOGLETRANSLATE(C6551,""en"",""hr"")"),"Podloška za zaključavanje")</f>
        <v>Podloška za zaključavanje</v>
      </c>
    </row>
    <row r="2874" spans="1:2" x14ac:dyDescent="0.2">
      <c r="A2874" s="21" t="s">
        <v>717</v>
      </c>
      <c r="B2874" s="18" t="str">
        <f ca="1">IFERROR(__xludf.DUMMYFUNCTION("GOOGLETRANSLATE(C2268,""en"",""hr"")"),"Perilica")</f>
        <v>Perilica</v>
      </c>
    </row>
    <row r="2875" spans="1:2" x14ac:dyDescent="0.2">
      <c r="A2875" s="21" t="s">
        <v>266</v>
      </c>
      <c r="B2875" s="18" t="str">
        <f ca="1">IFERROR(__xludf.DUMMYFUNCTION("GOOGLETRANSLATE(C580,""en"",""hr"")"),"Stezaljka za crijevo")</f>
        <v>Stezaljka za crijevo</v>
      </c>
    </row>
    <row r="2876" spans="1:2" x14ac:dyDescent="0.2">
      <c r="A2876" s="21" t="s">
        <v>1206</v>
      </c>
      <c r="B2876" s="18" t="str">
        <f ca="1">IFERROR(__xludf.DUMMYFUNCTION("GOOGLETRANSLATE(C3824,""en"",""hr"")"),"Stezaljka za crijevo")</f>
        <v>Stezaljka za crijevo</v>
      </c>
    </row>
    <row r="2877" spans="1:2" x14ac:dyDescent="0.2">
      <c r="A2877" s="21" t="s">
        <v>1140</v>
      </c>
      <c r="B2877" s="18" t="str">
        <f ca="1">IFERROR(__xludf.DUMMYFUNCTION("GOOGLETRANSLATE(C3702,""en"",""hr"")"),"Stezaljka za crijevo")</f>
        <v>Stezaljka za crijevo</v>
      </c>
    </row>
    <row r="2878" spans="1:2" x14ac:dyDescent="0.2">
      <c r="A2878" s="21" t="s">
        <v>1012</v>
      </c>
      <c r="B2878" s="18" t="str">
        <f ca="1">IFERROR(__xludf.DUMMYFUNCTION("GOOGLETRANSLATE(C3280,""en"",""hr"")"),"Stezaljka za crijevo")</f>
        <v>Stezaljka za crijevo</v>
      </c>
    </row>
    <row r="2879" spans="1:2" x14ac:dyDescent="0.2">
      <c r="A2879" s="21" t="s">
        <v>419</v>
      </c>
      <c r="B2879" s="18" t="str">
        <f ca="1">IFERROR(__xludf.DUMMYFUNCTION("GOOGLETRANSLATE(C991,""en"",""hr"")"),"Stezaljka za cijevi")</f>
        <v>Stezaljka za cijevi</v>
      </c>
    </row>
    <row r="2880" spans="1:2" x14ac:dyDescent="0.2">
      <c r="A2880" s="21" t="s">
        <v>497</v>
      </c>
      <c r="B2880" s="18" t="str">
        <f ca="1">IFERROR(__xludf.DUMMYFUNCTION("GOOGLETRANSLATE(C1232,""en"",""hr"")"),"Stezaljka za crijevo")</f>
        <v>Stezaljka za crijevo</v>
      </c>
    </row>
    <row r="2881" spans="1:2" x14ac:dyDescent="0.2">
      <c r="A2881" s="21" t="s">
        <v>1467</v>
      </c>
      <c r="B2881" s="18" t="str">
        <f ca="1">IFERROR(__xludf.DUMMYFUNCTION("GOOGLETRANSLATE(C4892,""en"",""hr"")"),"Isječak")</f>
        <v>Isječak</v>
      </c>
    </row>
    <row r="2882" spans="1:2" x14ac:dyDescent="0.2">
      <c r="A2882" s="21" t="s">
        <v>428</v>
      </c>
      <c r="B2882" s="18" t="str">
        <f ca="1">IFERROR(__xludf.DUMMYFUNCTION("GOOGLETRANSLATE(C1016,""en"",""hr"")"),"Stezaljka za crijevo")</f>
        <v>Stezaljka za crijevo</v>
      </c>
    </row>
    <row r="2883" spans="1:2" x14ac:dyDescent="0.2">
      <c r="A2883" s="21" t="s">
        <v>429</v>
      </c>
      <c r="B2883" s="18" t="str">
        <f ca="1">IFERROR(__xludf.DUMMYFUNCTION("GOOGLETRANSLATE(C1017,""en"",""hr"")"),"Stezaljka za crijevo")</f>
        <v>Stezaljka za crijevo</v>
      </c>
    </row>
    <row r="2884" spans="1:2" x14ac:dyDescent="0.2">
      <c r="A2884" s="21" t="s">
        <v>1087</v>
      </c>
      <c r="B2884" s="18" t="str">
        <f ca="1">IFERROR(__xludf.DUMMYFUNCTION("GOOGLETRANSLATE(C3507,""en"",""hr"")"),"Stezaljka za crijevo")</f>
        <v>Stezaljka za crijevo</v>
      </c>
    </row>
    <row r="2885" spans="1:2" x14ac:dyDescent="0.2">
      <c r="A2885" s="21" t="s">
        <v>1254</v>
      </c>
      <c r="B2885" s="18" t="str">
        <f ca="1">IFERROR(__xludf.DUMMYFUNCTION("GOOGLETRANSLATE(C3966,""en"",""hr"")"),"Stezaljka")</f>
        <v>Stezaljka</v>
      </c>
    </row>
    <row r="2886" spans="1:2" x14ac:dyDescent="0.2">
      <c r="A2886" s="21" t="s">
        <v>248</v>
      </c>
      <c r="B2886" s="18" t="str">
        <f ca="1">IFERROR(__xludf.DUMMYFUNCTION("GOOGLETRANSLATE(C524,""en"",""hr"")"),"Isječak")</f>
        <v>Isječak</v>
      </c>
    </row>
    <row r="2887" spans="1:2" x14ac:dyDescent="0.2">
      <c r="A2887" s="21" t="s">
        <v>195</v>
      </c>
      <c r="B2887" s="18" t="str">
        <f ca="1">IFERROR(__xludf.DUMMYFUNCTION("GOOGLETRANSLATE(C423,""en"",""hr"")"),"Isječak")</f>
        <v>Isječak</v>
      </c>
    </row>
    <row r="2888" spans="1:2" x14ac:dyDescent="0.2">
      <c r="A2888" s="21" t="s">
        <v>893</v>
      </c>
      <c r="B2888" s="18" t="str">
        <f ca="1">IFERROR(__xludf.DUMMYFUNCTION("GOOGLETRANSLATE(C2649,""en"",""hr"")"),"Isječak")</f>
        <v>Isječak</v>
      </c>
    </row>
    <row r="2889" spans="1:2" x14ac:dyDescent="0.2">
      <c r="A2889" s="21" t="s">
        <v>1134</v>
      </c>
      <c r="B2889" s="18" t="str">
        <f ca="1">IFERROR(__xludf.DUMMYFUNCTION("GOOGLETRANSLATE(C3690,""en"",""hr"")"),"Isječak")</f>
        <v>Isječak</v>
      </c>
    </row>
    <row r="2890" spans="1:2" x14ac:dyDescent="0.2">
      <c r="A2890" s="21" t="s">
        <v>432</v>
      </c>
      <c r="B2890" s="18" t="str">
        <f ca="1">IFERROR(__xludf.DUMMYFUNCTION("GOOGLETRANSLATE(C1029,""en"",""hr"")"),"Stezaljka za crijevo")</f>
        <v>Stezaljka za crijevo</v>
      </c>
    </row>
    <row r="2891" spans="1:2" x14ac:dyDescent="0.2">
      <c r="A2891" s="21" t="s">
        <v>1664</v>
      </c>
      <c r="B2891" s="18" t="str">
        <f ca="1">IFERROR(__xludf.DUMMYFUNCTION("GOOGLETRANSLATE(C5707,""en"",""hr"")"),"Stezaljka za crijevo")</f>
        <v>Stezaljka za crijevo</v>
      </c>
    </row>
    <row r="2892" spans="1:2" x14ac:dyDescent="0.2">
      <c r="A2892" s="21" t="s">
        <v>541</v>
      </c>
      <c r="B2892" s="18" t="str">
        <f ca="1">IFERROR(__xludf.DUMMYFUNCTION("GOOGLETRANSLATE(C1423,""en"",""hr"")"),"Isječak")</f>
        <v>Isječak</v>
      </c>
    </row>
    <row r="2893" spans="1:2" x14ac:dyDescent="0.2">
      <c r="A2893" s="21" t="s">
        <v>509</v>
      </c>
      <c r="B2893" s="18" t="str">
        <f ca="1">IFERROR(__xludf.DUMMYFUNCTION("GOOGLETRANSLATE(C1298,""en"",""hr"")"),"Stezaljka za crijevo")</f>
        <v>Stezaljka za crijevo</v>
      </c>
    </row>
    <row r="2894" spans="1:2" x14ac:dyDescent="0.2">
      <c r="A2894" s="21" t="s">
        <v>520</v>
      </c>
      <c r="B2894" s="18" t="str">
        <f ca="1">IFERROR(__xludf.DUMMYFUNCTION("GOOGLETRANSLATE(C1345,""en"",""hr"")"),"Stezaljka za cijevi")</f>
        <v>Stezaljka za cijevi</v>
      </c>
    </row>
    <row r="2895" spans="1:2" x14ac:dyDescent="0.2">
      <c r="A2895" s="21" t="s">
        <v>1410</v>
      </c>
      <c r="B2895" s="18" t="str">
        <f ca="1">IFERROR(__xludf.DUMMYFUNCTION("GOOGLETRANSLATE(C4579,""en"",""hr"")"),"Gornja stezna ploča")</f>
        <v>Gornja stezna ploča</v>
      </c>
    </row>
    <row r="2896" spans="1:2" x14ac:dyDescent="0.2">
      <c r="A2896" s="21" t="s">
        <v>1722</v>
      </c>
      <c r="B2896" s="18" t="str">
        <f ca="1">IFERROR(__xludf.DUMMYFUNCTION("GOOGLETRANSLATE(C5984,""en"",""hr"")"),"Kontra ploča")</f>
        <v>Kontra ploča</v>
      </c>
    </row>
    <row r="2897" spans="1:2" x14ac:dyDescent="0.2">
      <c r="A2897" s="21" t="s">
        <v>1707</v>
      </c>
      <c r="B2897" s="18" t="str">
        <f ca="1">IFERROR(__xludf.DUMMYFUNCTION("GOOGLETRANSLATE(C5931,""en"",""hr"")"),"Kontra ploča")</f>
        <v>Kontra ploča</v>
      </c>
    </row>
    <row r="2898" spans="1:2" x14ac:dyDescent="0.2">
      <c r="A2898" s="21" t="s">
        <v>261</v>
      </c>
      <c r="B2898" s="18" t="str">
        <f ca="1">IFERROR(__xludf.DUMMYFUNCTION("GOOGLETRANSLATE(C570,""en"",""hr"")"),"Šuplji vijak")</f>
        <v>Šuplji vijak</v>
      </c>
    </row>
    <row r="2899" spans="1:2" x14ac:dyDescent="0.2">
      <c r="A2899" s="21" t="s">
        <v>647</v>
      </c>
      <c r="B2899" s="18" t="str">
        <f ca="1">IFERROR(__xludf.DUMMYFUNCTION("GOOGLETRANSLATE(C2005,""en"",""hr"")"),"Utikač - prsten G1/4"" BSP")</f>
        <v>Utikač - prsten G1/4" BSP</v>
      </c>
    </row>
    <row r="2900" spans="1:2" x14ac:dyDescent="0.2">
      <c r="A2900" s="21" t="s">
        <v>797</v>
      </c>
      <c r="B2900" s="18" t="str">
        <f ca="1">IFERROR(__xludf.DUMMYFUNCTION("GOOGLETRANSLATE(C2431,""en"",""hr"")"),"Utikač GN 741 - G 1/2")</f>
        <v>Utikač GN 741 - G 1/2</v>
      </c>
    </row>
    <row r="2901" spans="1:2" x14ac:dyDescent="0.2">
      <c r="A2901" s="21" t="s">
        <v>1684</v>
      </c>
      <c r="B2901" s="18" t="str">
        <f ca="1">IFERROR(__xludf.DUMMYFUNCTION("GOOGLETRANSLATE(C5833,""en"",""hr"")"),"Razdvojena igla")</f>
        <v>Razdvojena igla</v>
      </c>
    </row>
    <row r="2902" spans="1:2" x14ac:dyDescent="0.2">
      <c r="A2902" s="21" t="s">
        <v>1211</v>
      </c>
      <c r="B2902" s="18" t="str">
        <f ca="1">IFERROR(__xludf.DUMMYFUNCTION("GOOGLETRANSLATE(C3836,""en"",""hr"")"),"Vijak")</f>
        <v>Vijak</v>
      </c>
    </row>
    <row r="2903" spans="1:2" x14ac:dyDescent="0.2">
      <c r="A2903" s="21" t="s">
        <v>890</v>
      </c>
      <c r="B2903" s="18" t="str">
        <f ca="1">IFERROR(__xludf.DUMMYFUNCTION("GOOGLETRANSLATE(C2603,""en"",""hr"")"),"Vijak")</f>
        <v>Vijak</v>
      </c>
    </row>
    <row r="2904" spans="1:2" x14ac:dyDescent="0.2">
      <c r="A2904" s="21" t="s">
        <v>1045</v>
      </c>
      <c r="B2904" s="18" t="str">
        <f ca="1">IFERROR(__xludf.DUMMYFUNCTION("GOOGLETRANSLATE(C3428,""en"",""hr"")"),"Vijak")</f>
        <v>Vijak</v>
      </c>
    </row>
    <row r="2905" spans="1:2" x14ac:dyDescent="0.2">
      <c r="A2905" s="21" t="s">
        <v>989</v>
      </c>
      <c r="B2905" s="18" t="str">
        <f ca="1">IFERROR(__xludf.DUMMYFUNCTION("GOOGLETRANSLATE(C3168,""en"",""hr"")"),"Vijak")</f>
        <v>Vijak</v>
      </c>
    </row>
    <row r="2906" spans="1:2" x14ac:dyDescent="0.2">
      <c r="A2906" s="21" t="s">
        <v>1011</v>
      </c>
      <c r="B2906" s="18" t="str">
        <f ca="1">IFERROR(__xludf.DUMMYFUNCTION("GOOGLETRANSLATE(C3278,""en"",""hr"")"),"Vijak")</f>
        <v>Vijak</v>
      </c>
    </row>
    <row r="2907" spans="1:2" x14ac:dyDescent="0.2">
      <c r="A2907" s="21" t="s">
        <v>333</v>
      </c>
      <c r="B2907" s="18" t="str">
        <f ca="1">IFERROR(__xludf.DUMMYFUNCTION("GOOGLETRANSLATE(C750,""en"",""hr"")"),"Vijak")</f>
        <v>Vijak</v>
      </c>
    </row>
    <row r="2908" spans="1:2" x14ac:dyDescent="0.2">
      <c r="A2908" s="21" t="s">
        <v>158</v>
      </c>
      <c r="B2908" s="18" t="str">
        <f ca="1">IFERROR(__xludf.DUMMYFUNCTION("GOOGLETRANSLATE(C306,""en"",""hr"")"),"Vijak")</f>
        <v>Vijak</v>
      </c>
    </row>
    <row r="2909" spans="1:2" x14ac:dyDescent="0.2">
      <c r="A2909" s="21" t="s">
        <v>396</v>
      </c>
      <c r="B2909" s="18" t="str">
        <f ca="1">IFERROR(__xludf.DUMMYFUNCTION("GOOGLETRANSLATE(C936,""en"",""hr"")"),"Vijak")</f>
        <v>Vijak</v>
      </c>
    </row>
    <row r="2910" spans="1:2" x14ac:dyDescent="0.2">
      <c r="A2910" s="21" t="s">
        <v>404</v>
      </c>
      <c r="B2910" s="18" t="str">
        <f ca="1">IFERROR(__xludf.DUMMYFUNCTION("GOOGLETRANSLATE(C948,""en"",""hr"")"),"Vijak")</f>
        <v>Vijak</v>
      </c>
    </row>
    <row r="2911" spans="1:2" x14ac:dyDescent="0.2">
      <c r="A2911" s="21" t="s">
        <v>931</v>
      </c>
      <c r="B2911" s="18" t="str">
        <f ca="1">IFERROR(__xludf.DUMMYFUNCTION("GOOGLETRANSLATE(C2839,""en"",""hr"")"),"Vijak")</f>
        <v>Vijak</v>
      </c>
    </row>
    <row r="2912" spans="1:2" x14ac:dyDescent="0.2">
      <c r="A2912" s="21" t="s">
        <v>1391</v>
      </c>
      <c r="B2912" s="18" t="str">
        <f ca="1">IFERROR(__xludf.DUMMYFUNCTION("GOOGLETRANSLATE(C4444,""en"",""hr"")"),"Vijak")</f>
        <v>Vijak</v>
      </c>
    </row>
    <row r="2913" spans="1:2" x14ac:dyDescent="0.2">
      <c r="A2913" s="21" t="s">
        <v>1639</v>
      </c>
      <c r="B2913" s="18" t="str">
        <f ca="1">IFERROR(__xludf.DUMMYFUNCTION("GOOGLETRANSLATE(C5520,""en"",""hr"")"),"imbus vijak")</f>
        <v>imbus vijak</v>
      </c>
    </row>
    <row r="2914" spans="1:2" x14ac:dyDescent="0.2">
      <c r="A2914" s="21" t="s">
        <v>552</v>
      </c>
      <c r="B2914" s="18" t="str">
        <f ca="1">IFERROR(__xludf.DUMMYFUNCTION("GOOGLETRANSLATE(C1494,""en"",""hr"")"),"Vijak s ravnom glavom")</f>
        <v>Vijak s ravnom glavom</v>
      </c>
    </row>
    <row r="2915" spans="1:2" x14ac:dyDescent="0.2">
      <c r="A2915" s="21" t="s">
        <v>590</v>
      </c>
      <c r="B2915" s="18" t="str">
        <f ca="1">IFERROR(__xludf.DUMMYFUNCTION("GOOGLETRANSLATE(C1720,""en"",""hr"")"),"imbus vijak")</f>
        <v>imbus vijak</v>
      </c>
    </row>
    <row r="2916" spans="1:2" x14ac:dyDescent="0.2">
      <c r="A2916" s="21" t="s">
        <v>1460</v>
      </c>
      <c r="B2916" s="18" t="str">
        <f ca="1">IFERROR(__xludf.DUMMYFUNCTION("GOOGLETRANSLATE(C4868,""en"",""hr"")"),"Upušteni vijak")</f>
        <v>Upušteni vijak</v>
      </c>
    </row>
    <row r="2917" spans="1:2" x14ac:dyDescent="0.2">
      <c r="A2917" s="21" t="s">
        <v>225</v>
      </c>
      <c r="B2917" s="18" t="str">
        <f ca="1">IFERROR(__xludf.DUMMYFUNCTION("GOOGLETRANSLATE(C475,""en"",""hr"")"),"Orah")</f>
        <v>Orah</v>
      </c>
    </row>
    <row r="2918" spans="1:2" x14ac:dyDescent="0.2">
      <c r="A2918" s="21" t="s">
        <v>1386</v>
      </c>
      <c r="B2918" s="18" t="str">
        <f ca="1">IFERROR(__xludf.DUMMYFUNCTION("GOOGLETRANSLATE(C4423,""en"",""hr"")"),"Samosigurnosna matica")</f>
        <v>Samosigurnosna matica</v>
      </c>
    </row>
    <row r="2919" spans="1:2" x14ac:dyDescent="0.2">
      <c r="A2919" s="21" t="s">
        <v>1093</v>
      </c>
      <c r="B2919" s="18" t="str">
        <f ca="1">IFERROR(__xludf.DUMMYFUNCTION("GOOGLETRANSLATE(C3535,""en"",""hr"")"),"Perilica")</f>
        <v>Perilica</v>
      </c>
    </row>
    <row r="2920" spans="1:2" x14ac:dyDescent="0.2">
      <c r="A2920" s="21" t="s">
        <v>323</v>
      </c>
      <c r="B2920" s="18" t="str">
        <f ca="1">IFERROR(__xludf.DUMMYFUNCTION("GOOGLETRANSLATE(C732,""en"",""hr"")"),"Opružni vijak")</f>
        <v>Opružni vijak</v>
      </c>
    </row>
    <row r="2921" spans="1:2" x14ac:dyDescent="0.2">
      <c r="A2921" s="21" t="s">
        <v>1237</v>
      </c>
      <c r="B2921" s="18" t="str">
        <f ca="1">IFERROR(__xludf.DUMMYFUNCTION("GOOGLETRANSLATE(C3928,""en"",""hr"")"),"brtva")</f>
        <v>brtva</v>
      </c>
    </row>
    <row r="2922" spans="1:2" x14ac:dyDescent="0.2">
      <c r="A2922" s="21" t="s">
        <v>519</v>
      </c>
      <c r="B2922" s="18" t="str">
        <f ca="1">IFERROR(__xludf.DUMMYFUNCTION("GOOGLETRANSLATE(C1342,""en"",""hr"")"),"Stezaljka za cijevi")</f>
        <v>Stezaljka za cijevi</v>
      </c>
    </row>
    <row r="2923" spans="1:2" x14ac:dyDescent="0.2">
      <c r="A2923" s="21" t="s">
        <v>1703</v>
      </c>
      <c r="B2923" s="18" t="str">
        <f ca="1">IFERROR(__xludf.DUMMYFUNCTION("GOOGLETRANSLATE(C5915,""en"",""hr"")"),"Poklopna ploča")</f>
        <v>Poklopna ploča</v>
      </c>
    </row>
    <row r="2924" spans="1:2" x14ac:dyDescent="0.2">
      <c r="A2924" s="21" t="s">
        <v>798</v>
      </c>
      <c r="B2924" s="18" t="str">
        <f ca="1">IFERROR(__xludf.DUMMYFUNCTION("GOOGLETRANSLATE(C2434,""en"",""hr"")"),"Stezaljka za cijevi")</f>
        <v>Stezaljka za cijevi</v>
      </c>
    </row>
    <row r="2925" spans="1:2" x14ac:dyDescent="0.2">
      <c r="A2925" s="21" t="s">
        <v>1641</v>
      </c>
      <c r="B2925" s="18" t="str">
        <f ca="1">IFERROR(__xludf.DUMMYFUNCTION("GOOGLETRANSLATE(C5544,""en"",""hr"")"),"Stezaljka za cijevi")</f>
        <v>Stezaljka za cijevi</v>
      </c>
    </row>
    <row r="2926" spans="1:2" x14ac:dyDescent="0.2">
      <c r="A2926" s="21" t="s">
        <v>1591</v>
      </c>
      <c r="B2926" s="18" t="str">
        <f ca="1">IFERROR(__xludf.DUMMYFUNCTION("GOOGLETRANSLATE(C5402,""en"",""hr"")"),"Ravni uvrtni vijčani spoj")</f>
        <v>Ravni uvrtni vijčani spoj</v>
      </c>
    </row>
    <row r="2927" spans="1:2" x14ac:dyDescent="0.2">
      <c r="A2927" s="21" t="s">
        <v>1730</v>
      </c>
      <c r="B2927" s="18" t="str">
        <f ca="1">IFERROR(__xludf.DUMMYFUNCTION("GOOGLETRANSLATE(C6011,""en"",""hr"")"),"Ravni uvrtni vijčani spoj")</f>
        <v>Ravni uvrtni vijčani spoj</v>
      </c>
    </row>
    <row r="2928" spans="1:2" x14ac:dyDescent="0.2">
      <c r="A2928" s="21" t="s">
        <v>870</v>
      </c>
      <c r="B2928" s="18" t="str">
        <f ca="1">IFERROR(__xludf.DUMMYFUNCTION("GOOGLETRANSLATE(C2550,""en"",""hr"")"),"Ravni uvrtni vijčani spoj")</f>
        <v>Ravni uvrtni vijčani spoj</v>
      </c>
    </row>
    <row r="2929" spans="1:2" x14ac:dyDescent="0.2">
      <c r="A2929" s="21" t="s">
        <v>1683</v>
      </c>
      <c r="B2929" s="18" t="str">
        <f ca="1">IFERROR(__xludf.DUMMYFUNCTION("GOOGLETRANSLATE(C5820,""en"",""hr"")"),"Ravni uvrtni vijčani spoj")</f>
        <v>Ravni uvrtni vijčani spoj</v>
      </c>
    </row>
    <row r="2930" spans="1:2" x14ac:dyDescent="0.2">
      <c r="A2930" s="21" t="s">
        <v>1667</v>
      </c>
      <c r="B2930" s="18" t="str">
        <f ca="1">IFERROR(__xludf.DUMMYFUNCTION("GOOGLETRANSLATE(C5756,""en"",""hr"")"),"Ravni uvrtni vijčani spoj")</f>
        <v>Ravni uvrtni vijčani spoj</v>
      </c>
    </row>
    <row r="2931" spans="1:2" x14ac:dyDescent="0.2">
      <c r="A2931" s="21" t="s">
        <v>1680</v>
      </c>
      <c r="B2931" s="18" t="str">
        <f ca="1">IFERROR(__xludf.DUMMYFUNCTION("GOOGLETRANSLATE(C5809,""en"",""hr"")"),"Ravni uvrtni vijčani spoj")</f>
        <v>Ravni uvrtni vijčani spoj</v>
      </c>
    </row>
    <row r="2932" spans="1:2" x14ac:dyDescent="0.2">
      <c r="A2932" s="21" t="s">
        <v>430</v>
      </c>
      <c r="B2932" s="18" t="str">
        <f ca="1">IFERROR(__xludf.DUMMYFUNCTION("GOOGLETRANSLATE(C1019,""en"",""hr"")"),"Ravni uvrtni vijčani spoj")</f>
        <v>Ravni uvrtni vijčani spoj</v>
      </c>
    </row>
    <row r="2933" spans="1:2" x14ac:dyDescent="0.2">
      <c r="A2933" s="21" t="s">
        <v>1338</v>
      </c>
      <c r="B2933" s="18" t="str">
        <f ca="1">IFERROR(__xludf.DUMMYFUNCTION("GOOGLETRANSLATE(C4207,""en"",""hr"")"),"Priključak")</f>
        <v>Priključak</v>
      </c>
    </row>
    <row r="2934" spans="1:2" x14ac:dyDescent="0.2">
      <c r="A2934" s="21" t="s">
        <v>1227</v>
      </c>
      <c r="B2934" s="18" t="str">
        <f ca="1">IFERROR(__xludf.DUMMYFUNCTION("GOOGLETRANSLATE(C3915,""en"",""hr"")"),"Koljenasti vijčani spoj")</f>
        <v>Koljenasti vijčani spoj</v>
      </c>
    </row>
    <row r="2935" spans="1:2" x14ac:dyDescent="0.2">
      <c r="A2935" s="21" t="s">
        <v>1242</v>
      </c>
      <c r="B2935" s="18" t="str">
        <f ca="1">IFERROR(__xludf.DUMMYFUNCTION("GOOGLETRANSLATE(C3942,""en"",""hr"")"),"Koljenasti vijčani spoj")</f>
        <v>Koljenasti vijčani spoj</v>
      </c>
    </row>
    <row r="2936" spans="1:2" x14ac:dyDescent="0.2">
      <c r="A2936" s="21" t="s">
        <v>1736</v>
      </c>
      <c r="B2936" s="18" t="str">
        <f ca="1">IFERROR(__xludf.DUMMYFUNCTION("GOOGLETRANSLATE(C6033,""en"",""hr"")"),"Koljenasti vijčani spoj")</f>
        <v>Koljenasti vijčani spoj</v>
      </c>
    </row>
    <row r="2937" spans="1:2" x14ac:dyDescent="0.2">
      <c r="A2937" s="21" t="s">
        <v>702</v>
      </c>
      <c r="B2937" s="18" t="str">
        <f ca="1">IFERROR(__xludf.DUMMYFUNCTION("GOOGLETRANSLATE(C2217,""en"",""hr"")"),"T-utičnica")</f>
        <v>T-utičnica</v>
      </c>
    </row>
    <row r="2938" spans="1:2" x14ac:dyDescent="0.2">
      <c r="A2938" s="21" t="s">
        <v>1228</v>
      </c>
      <c r="B2938" s="18" t="str">
        <f ca="1">IFERROR(__xludf.DUMMYFUNCTION("GOOGLETRANSLATE(C3916,""en"",""hr"")"),"T-utičnica")</f>
        <v>T-utičnica</v>
      </c>
    </row>
    <row r="2939" spans="1:2" x14ac:dyDescent="0.2">
      <c r="A2939" s="21" t="s">
        <v>1696</v>
      </c>
      <c r="B2939" s="18" t="str">
        <f ca="1">IFERROR(__xludf.DUMMYFUNCTION("GOOGLETRANSLATE(C5876,""en"",""hr"")"),"T-utičnica")</f>
        <v>T-utičnica</v>
      </c>
    </row>
    <row r="2940" spans="1:2" x14ac:dyDescent="0.2">
      <c r="A2940" s="21" t="s">
        <v>744</v>
      </c>
      <c r="B2940" s="18" t="str">
        <f ca="1">IFERROR(__xludf.DUMMYFUNCTION("GOOGLETRANSLATE(C2342,""en"",""hr"")"),"T-utičnica")</f>
        <v>T-utičnica</v>
      </c>
    </row>
    <row r="2941" spans="1:2" x14ac:dyDescent="0.2">
      <c r="A2941" s="21" t="s">
        <v>1738</v>
      </c>
      <c r="B2941" s="18" t="str">
        <f ca="1">IFERROR(__xludf.DUMMYFUNCTION("GOOGLETRANSLATE(C6039,""en"",""hr"")"),"L-priključak podesiv")</f>
        <v>L-priključak podesiv</v>
      </c>
    </row>
    <row r="2942" spans="1:2" x14ac:dyDescent="0.2">
      <c r="A2942" s="21" t="s">
        <v>1697</v>
      </c>
      <c r="B2942" s="18" t="str">
        <f ca="1">IFERROR(__xludf.DUMMYFUNCTION("GOOGLETRANSLATE(C5878,""en"",""hr"")"),"L-priključak podesiv")</f>
        <v>L-priključak podesiv</v>
      </c>
    </row>
    <row r="2943" spans="1:2" x14ac:dyDescent="0.2">
      <c r="A2943" s="21" t="s">
        <v>245</v>
      </c>
      <c r="B2943" s="18" t="str">
        <f ca="1">IFERROR(__xludf.DUMMYFUNCTION("GOOGLETRANSLATE(C515,""en"",""hr"")"),"KRIŽNI VIJAK-SPOJ")</f>
        <v>KRIŽNI VIJAK-SPOJ</v>
      </c>
    </row>
    <row r="2944" spans="1:2" x14ac:dyDescent="0.2">
      <c r="A2944" s="21" t="s">
        <v>1445</v>
      </c>
      <c r="B2944" s="18" t="str">
        <f ca="1">IFERROR(__xludf.DUMMYFUNCTION("GOOGLETRANSLATE(C4713,""en"",""hr"")"),"O-prsten")</f>
        <v>O-prsten</v>
      </c>
    </row>
    <row r="2945" spans="1:2" x14ac:dyDescent="0.2">
      <c r="A2945" s="21" t="s">
        <v>455</v>
      </c>
      <c r="B2945" s="18" t="str">
        <f ca="1">IFERROR(__xludf.DUMMYFUNCTION("GOOGLETRANSLATE(C1105,""en"",""hr"")"),"Stezaljka za cijevi")</f>
        <v>Stezaljka za cijevi</v>
      </c>
    </row>
    <row r="2946" spans="1:2" x14ac:dyDescent="0.2">
      <c r="A2946" s="21" t="s">
        <v>2019</v>
      </c>
      <c r="B2946" s="18" t="str">
        <f ca="1">IFERROR(__xludf.DUMMYFUNCTION("GOOGLETRANSLATE(C6831,""en"",""hr"")"),"Poseban ključ")</f>
        <v>Poseban ključ</v>
      </c>
    </row>
    <row r="2947" spans="1:2" x14ac:dyDescent="0.2">
      <c r="A2947" s="21" t="s">
        <v>1348</v>
      </c>
      <c r="B2947" s="18" t="str">
        <f ca="1">IFERROR(__xludf.DUMMYFUNCTION("GOOGLETRANSLATE(C4245,""en"",""hr"")"),"Karabin")</f>
        <v>Karabin</v>
      </c>
    </row>
    <row r="2948" spans="1:2" x14ac:dyDescent="0.2">
      <c r="A2948" s="21" t="s">
        <v>1132</v>
      </c>
      <c r="B2948" s="18" t="str">
        <f ca="1">IFERROR(__xludf.DUMMYFUNCTION("GOOGLETRANSLATE(C3681,""en"",""hr"")"),"Lakat")</f>
        <v>Lakat</v>
      </c>
    </row>
    <row r="2949" spans="1:2" x14ac:dyDescent="0.2">
      <c r="A2949" s="21" t="s">
        <v>1394</v>
      </c>
      <c r="B2949" s="18" t="str">
        <f ca="1">IFERROR(__xludf.DUMMYFUNCTION("GOOGLETRANSLATE(C4472,""en"",""hr"")"),"Prirubnički ležaj")</f>
        <v>Prirubnički ležaj</v>
      </c>
    </row>
    <row r="2950" spans="1:2" x14ac:dyDescent="0.2">
      <c r="A2950" s="21" t="s">
        <v>1385</v>
      </c>
      <c r="B2950" s="18" t="str">
        <f ca="1">IFERROR(__xludf.DUMMYFUNCTION("GOOGLETRANSLATE(C4421,""en"",""hr"")"),"Čahura radijalnog ležaja")</f>
        <v>Čahura radijalnog ležaja</v>
      </c>
    </row>
    <row r="2951" spans="1:2" x14ac:dyDescent="0.2">
      <c r="A2951" s="21" t="s">
        <v>968</v>
      </c>
      <c r="B2951" s="18" t="str">
        <f ca="1">IFERROR(__xludf.DUMMYFUNCTION("GOOGLETRANSLATE(C3079,""en"",""hr"")"),"Lažni utikač")</f>
        <v>Lažni utikač</v>
      </c>
    </row>
    <row r="2952" spans="1:2" x14ac:dyDescent="0.2">
      <c r="A2952" s="21" t="s">
        <v>959</v>
      </c>
      <c r="B2952" s="18" t="str">
        <f ca="1">IFERROR(__xludf.DUMMYFUNCTION("GOOGLETRANSLATE(C3042,""en"",""hr"")"),"Četka (plastična)")</f>
        <v>Četka (plastična)</v>
      </c>
    </row>
    <row r="2953" spans="1:2" x14ac:dyDescent="0.2">
      <c r="A2953" s="21" t="s">
        <v>1143</v>
      </c>
      <c r="B2953" s="18" t="str">
        <f ca="1">IFERROR(__xludf.DUMMYFUNCTION("GOOGLETRANSLATE(C3706,""en"",""hr"")"),"Kuglasti ventil")</f>
        <v>Kuglasti ventil</v>
      </c>
    </row>
    <row r="2954" spans="1:2" x14ac:dyDescent="0.2">
      <c r="A2954" s="21" t="s">
        <v>30</v>
      </c>
      <c r="B2954" s="18" t="str">
        <f ca="1">IFERROR(__xludf.DUMMYFUNCTION("GOOGLETRANSLATE(C38,""en"",""hr"")"),"Kućište čahure 4-polno")</f>
        <v>Kućište čahure 4-polno</v>
      </c>
    </row>
    <row r="2955" spans="1:2" x14ac:dyDescent="0.2">
      <c r="A2955" s="21" t="s">
        <v>958</v>
      </c>
      <c r="B2955" s="18" t="str">
        <f ca="1">IFERROR(__xludf.DUMMYFUNCTION("GOOGLETRANSLATE(C3041,""en"",""hr"")"),"Četka (čelik/plastika)")</f>
        <v>Četka (čelik/plastika)</v>
      </c>
    </row>
    <row r="2956" spans="1:2" x14ac:dyDescent="0.2">
      <c r="A2956" s="21" t="s">
        <v>1645</v>
      </c>
      <c r="B2956" s="18" t="str">
        <f ca="1">IFERROR(__xludf.DUMMYFUNCTION("GOOGLETRANSLATE(C5555,""en"",""hr"")"),"Pufer")</f>
        <v>Pufer</v>
      </c>
    </row>
    <row r="2957" spans="1:2" x14ac:dyDescent="0.2">
      <c r="A2957" s="21" t="s">
        <v>1916</v>
      </c>
      <c r="B2957" s="18" t="str">
        <f ca="1">IFERROR(__xludf.DUMMYFUNCTION("GOOGLETRANSLATE(C6675,""en"",""hr"")"),"Spojka za prikolicu")</f>
        <v>Spojka za prikolicu</v>
      </c>
    </row>
    <row r="2958" spans="1:2" x14ac:dyDescent="0.2">
      <c r="A2958" s="21" t="s">
        <v>957</v>
      </c>
      <c r="B2958" s="18" t="str">
        <f ca="1">IFERROR(__xludf.DUMMYFUNCTION("GOOGLETRANSLATE(C3040,""en"",""hr"")"),"Četka (čelik)")</f>
        <v>Četka (čelik)</v>
      </c>
    </row>
    <row r="2959" spans="1:2" x14ac:dyDescent="0.2">
      <c r="A2959" s="21" t="s">
        <v>301</v>
      </c>
      <c r="B2959" s="18" t="str">
        <f ca="1">IFERROR(__xludf.DUMMYFUNCTION("GOOGLETRANSLATE(C668,""en"",""hr"")"),"Konektorska ljuska")</f>
        <v>Konektorska ljuska</v>
      </c>
    </row>
    <row r="2960" spans="1:2" x14ac:dyDescent="0.2">
      <c r="A2960" s="21" t="s">
        <v>304</v>
      </c>
      <c r="B2960" s="18" t="str">
        <f ca="1">IFERROR(__xludf.DUMMYFUNCTION("GOOGLETRANSLATE(C671,""en"",""hr"")"),"Lažni utikač")</f>
        <v>Lažni utikač</v>
      </c>
    </row>
    <row r="2961" spans="1:2" x14ac:dyDescent="0.2">
      <c r="A2961" s="21" t="s">
        <v>303</v>
      </c>
      <c r="B2961" s="18" t="str">
        <f ca="1">IFERROR(__xludf.DUMMYFUNCTION("GOOGLETRANSLATE(C670,""en"",""hr"")"),"Čahura kabela")</f>
        <v>Čahura kabela</v>
      </c>
    </row>
    <row r="2962" spans="1:2" x14ac:dyDescent="0.2">
      <c r="A2962" s="21" t="s">
        <v>302</v>
      </c>
      <c r="B2962" s="18" t="str">
        <f ca="1">IFERROR(__xludf.DUMMYFUNCTION("GOOGLETRANSLATE(C669,""en"",""hr"")"),"Pin")</f>
        <v>Pin</v>
      </c>
    </row>
    <row r="2963" spans="1:2" x14ac:dyDescent="0.2">
      <c r="A2963" s="21" t="s">
        <v>1552</v>
      </c>
      <c r="B2963" s="18" t="str">
        <f ca="1">IFERROR(__xludf.DUMMYFUNCTION("GOOGLETRANSLATE(C5289,""en"",""hr"")"),"Poklopac")</f>
        <v>Poklopac</v>
      </c>
    </row>
    <row r="2964" spans="1:2" x14ac:dyDescent="0.2">
      <c r="A2964" s="21" t="s">
        <v>1088</v>
      </c>
      <c r="B2964" s="18" t="str">
        <f ca="1">IFERROR(__xludf.DUMMYFUNCTION("GOOGLETRANSLATE(C3510,""en"",""hr"")"),"Poklopac")</f>
        <v>Poklopac</v>
      </c>
    </row>
    <row r="2965" spans="1:2" x14ac:dyDescent="0.2">
      <c r="A2965" s="21" t="s">
        <v>236</v>
      </c>
      <c r="B2965" s="18" t="str">
        <f ca="1">IFERROR(__xludf.DUMMYFUNCTION("GOOGLETRANSLATE(C491,""en"",""hr"")"),"kapa")</f>
        <v>kapa</v>
      </c>
    </row>
    <row r="2966" spans="1:2" x14ac:dyDescent="0.2">
      <c r="A2966" s="21" t="s">
        <v>1510</v>
      </c>
      <c r="B2966" s="18" t="str">
        <f ca="1">IFERROR(__xludf.DUMMYFUNCTION("GOOGLETRANSLATE(C5116,""en"",""hr"")"),"Utikač")</f>
        <v>Utikač</v>
      </c>
    </row>
    <row r="2967" spans="1:2" x14ac:dyDescent="0.2">
      <c r="A2967" s="21" t="s">
        <v>728</v>
      </c>
      <c r="B2967" s="18" t="str">
        <f ca="1">IFERROR(__xludf.DUMMYFUNCTION("GOOGLETRANSLATE(C2287,""en"",""hr"")"),"Šesterokutna matica SSI")</f>
        <v>Šesterokutna matica SSI</v>
      </c>
    </row>
    <row r="2968" spans="1:2" x14ac:dyDescent="0.2">
      <c r="A2968" s="21" t="s">
        <v>2020</v>
      </c>
      <c r="B2968" s="18" t="str">
        <f ca="1">IFERROR(__xludf.DUMMYFUNCTION("GOOGLETRANSLATE(C6832,""en"",""hr"")"),"Cijev (UK)")</f>
        <v>Cijev (UK)</v>
      </c>
    </row>
    <row r="2969" spans="1:2" x14ac:dyDescent="0.2">
      <c r="A2969" s="21" t="s">
        <v>1514</v>
      </c>
      <c r="B2969" s="18" t="str">
        <f ca="1">IFERROR(__xludf.DUMMYFUNCTION("GOOGLETRANSLATE(C5122,""en"",""hr"")"),"Brtveni rukavac")</f>
        <v>Brtveni rukavac</v>
      </c>
    </row>
    <row r="2970" spans="1:2" x14ac:dyDescent="0.2">
      <c r="A2970" s="21" t="s">
        <v>955</v>
      </c>
      <c r="B2970" s="18" t="str">
        <f ca="1">IFERROR(__xludf.DUMMYFUNCTION("GOOGLETRANSLATE(C3031,""en"",""hr"")"),"Četka za korov")</f>
        <v>Četka za korov</v>
      </c>
    </row>
    <row r="2971" spans="1:2" x14ac:dyDescent="0.2">
      <c r="A2971" s="21" t="s">
        <v>1863</v>
      </c>
      <c r="B2971" s="18" t="str">
        <f ca="1">IFERROR(__xludf.DUMMYFUNCTION("GOOGLETRANSLATE(C6574,""en"",""hr"")"),"Adapter PCAN-USB sučelje na vozilo")</f>
        <v>Adapter PCAN-USB sučelje na vozilo</v>
      </c>
    </row>
    <row r="2972" spans="1:2" x14ac:dyDescent="0.2">
      <c r="A2972" s="21" t="s">
        <v>1864</v>
      </c>
      <c r="B2972" s="18" t="str">
        <f ca="1">IFERROR(__xludf.DUMMYFUNCTION("GOOGLETRANSLATE(C6575,""en"",""hr"")"),"Adapter PCAN-završetak")</f>
        <v>Adapter PCAN-završetak</v>
      </c>
    </row>
    <row r="2973" spans="1:2" x14ac:dyDescent="0.2">
      <c r="A2973" s="21" t="s">
        <v>1865</v>
      </c>
      <c r="B2973" s="18" t="str">
        <f ca="1">IFERROR(__xludf.DUMMYFUNCTION("GOOGLETRANSLATE(C6576,""en"",""hr"")"),"Kabel kpl.")</f>
        <v>Kabel kpl.</v>
      </c>
    </row>
    <row r="2974" spans="1:2" x14ac:dyDescent="0.2">
      <c r="A2974" s="21" t="s">
        <v>1236</v>
      </c>
      <c r="B2974" s="18" t="str">
        <f ca="1">IFERROR(__xludf.DUMMYFUNCTION("GOOGLETRANSLATE(C3926,""en"",""hr"")"),"Okretna matica")</f>
        <v>Okretna matica</v>
      </c>
    </row>
    <row r="2975" spans="1:2" x14ac:dyDescent="0.2">
      <c r="A2975" s="21" t="s">
        <v>1662</v>
      </c>
      <c r="B2975" s="18" t="str">
        <f ca="1">IFERROR(__xludf.DUMMYFUNCTION("GOOGLETRANSLATE(C5653,""en"",""hr"")"),"Priključak")</f>
        <v>Priključak</v>
      </c>
    </row>
    <row r="2976" spans="1:2" x14ac:dyDescent="0.2">
      <c r="A2976" s="21" t="s">
        <v>488</v>
      </c>
      <c r="B2976" s="18" t="str">
        <f ca="1">IFERROR(__xludf.DUMMYFUNCTION("GOOGLETRANSLATE(C1183,""en"",""hr"")"),"Priključak crijeva")</f>
        <v>Priključak crijeva</v>
      </c>
    </row>
    <row r="2977" spans="1:2" x14ac:dyDescent="0.2">
      <c r="A2977" s="21" t="s">
        <v>1909</v>
      </c>
      <c r="B2977" s="18" t="str">
        <f ca="1">IFERROR(__xludf.DUMMYFUNCTION("GOOGLETRANSLATE(C6659,""en"",""hr"")"),"Utičnica 2-polna")</f>
        <v>Utičnica 2-polna</v>
      </c>
    </row>
    <row r="2978" spans="1:2" x14ac:dyDescent="0.2">
      <c r="A2978" s="21" t="s">
        <v>956</v>
      </c>
      <c r="B2978" s="18" t="str">
        <f ca="1">IFERROR(__xludf.DUMMYFUNCTION("GOOGLETRANSLATE(C3032,""en"",""hr"")"),"Montažna ploča crna")</f>
        <v>Montažna ploča crna</v>
      </c>
    </row>
    <row r="2979" spans="1:2" x14ac:dyDescent="0.2">
      <c r="A2979" s="21" t="s">
        <v>1578</v>
      </c>
      <c r="B2979" s="18" t="str">
        <f ca="1">IFERROR(__xludf.DUMMYFUNCTION("GOOGLETRANSLATE(C5349,""en"",""hr"")"),"Guma - papučica kočnice")</f>
        <v>Guma - papučica kočnice</v>
      </c>
    </row>
    <row r="2980" spans="1:2" x14ac:dyDescent="0.2">
      <c r="A2980" s="21" t="s">
        <v>1539</v>
      </c>
      <c r="B2980" s="18" t="str">
        <f ca="1">IFERROR(__xludf.DUMMYFUNCTION("GOOGLETRANSLATE(C5233,""en"",""hr"")"),"Crijevo po metru")</f>
        <v>Crijevo po metru</v>
      </c>
    </row>
    <row r="2981" spans="1:2" x14ac:dyDescent="0.2">
      <c r="A2981" s="21" t="s">
        <v>506</v>
      </c>
      <c r="B2981" s="18" t="str">
        <f ca="1">IFERROR(__xludf.DUMMYFUNCTION("GOOGLETRANSLATE(C1252,""en"",""hr"")"),"Sklop senzora")</f>
        <v>Sklop senzora</v>
      </c>
    </row>
    <row r="2982" spans="1:2" x14ac:dyDescent="0.2">
      <c r="A2982" s="21" t="s">
        <v>505</v>
      </c>
      <c r="B2982" s="18" t="str">
        <f ca="1">IFERROR(__xludf.DUMMYFUNCTION("GOOGLETRANSLATE(C1251,""en"",""hr"")"),"Čahura")</f>
        <v>Čahura</v>
      </c>
    </row>
    <row r="2983" spans="1:2" x14ac:dyDescent="0.2">
      <c r="A2983" s="21" t="s">
        <v>24</v>
      </c>
      <c r="B2983" s="18" t="str">
        <f ca="1">IFERROR(__xludf.DUMMYFUNCTION("GOOGLETRANSLATE(C22,""en"",""hr"")"),"Indikator razine punjenja")</f>
        <v>Indikator razine punjenja</v>
      </c>
    </row>
    <row r="2984" spans="1:2" x14ac:dyDescent="0.2">
      <c r="A2984" s="21" t="s">
        <v>2026</v>
      </c>
      <c r="B2984" s="18" t="str">
        <f ca="1">IFERROR(__xludf.DUMMYFUNCTION("GOOGLETRANSLATE(C6867,""en"",""hr"")"),"Retrofit Bucher Connect CityCat V20 / VS20 - Go")</f>
        <v>Retrofit Bucher Connect CityCat V20 / VS20 - Go</v>
      </c>
    </row>
    <row r="2985" spans="1:2" x14ac:dyDescent="0.2">
      <c r="A2985" s="21" t="s">
        <v>2027</v>
      </c>
      <c r="B2985" s="18" t="str">
        <f ca="1">IFERROR(__xludf.DUMMYFUNCTION("GOOGLETRANSLATE(C6868,""en"",""hr"")"),"Retrofit Bucher Connect CityCat V20 / VS20 - Go Plus")</f>
        <v>Retrofit Bucher Connect CityCat V20 / VS20 - Go Plus</v>
      </c>
    </row>
    <row r="2986" spans="1:2" x14ac:dyDescent="0.2">
      <c r="A2986" s="21" t="s">
        <v>624</v>
      </c>
      <c r="B2986" s="18" t="str">
        <f ca="1">IFERROR(__xludf.DUMMYFUNCTION("GOOGLETRANSLATE(C1933,""en"",""hr"")"),"Vijak")</f>
        <v>Vijak</v>
      </c>
    </row>
    <row r="2987" spans="1:2" x14ac:dyDescent="0.2">
      <c r="A2987" s="21" t="s">
        <v>784</v>
      </c>
      <c r="B2987" s="18" t="str">
        <f ca="1">IFERROR(__xludf.DUMMYFUNCTION("GOOGLETRANSLATE(C2414,""en"",""hr"")"),"Vijak")</f>
        <v>Vijak</v>
      </c>
    </row>
    <row r="2988" spans="1:2" x14ac:dyDescent="0.2">
      <c r="A2988" s="21" t="s">
        <v>962</v>
      </c>
      <c r="B2988" s="18" t="str">
        <f ca="1">IFERROR(__xludf.DUMMYFUNCTION("GOOGLETRANSLATE(C3056,""en"",""hr"")"),"Vijak")</f>
        <v>Vijak</v>
      </c>
    </row>
    <row r="2989" spans="1:2" x14ac:dyDescent="0.2">
      <c r="A2989" s="21" t="s">
        <v>735</v>
      </c>
      <c r="B2989" s="18" t="str">
        <f ca="1">IFERROR(__xludf.DUMMYFUNCTION("GOOGLETRANSLATE(C2318,""en"",""hr"")"),"Vijak")</f>
        <v>Vijak</v>
      </c>
    </row>
    <row r="2990" spans="1:2" x14ac:dyDescent="0.2">
      <c r="A2990" s="21" t="s">
        <v>767</v>
      </c>
      <c r="B2990" s="18" t="str">
        <f ca="1">IFERROR(__xludf.DUMMYFUNCTION("GOOGLETRANSLATE(C2384,""en"",""hr"")"),"Vijak")</f>
        <v>Vijak</v>
      </c>
    </row>
    <row r="2991" spans="1:2" x14ac:dyDescent="0.2">
      <c r="A2991" s="21" t="s">
        <v>1411</v>
      </c>
      <c r="B2991" s="18" t="str">
        <f ca="1">IFERROR(__xludf.DUMMYFUNCTION("GOOGLETRANSLATE(C4580,""en"",""hr"")"),"Vijak")</f>
        <v>Vijak</v>
      </c>
    </row>
    <row r="2992" spans="1:2" x14ac:dyDescent="0.2">
      <c r="A2992" s="21" t="s">
        <v>934</v>
      </c>
      <c r="B2992" s="18" t="str">
        <f ca="1">IFERROR(__xludf.DUMMYFUNCTION("GOOGLETRANSLATE(C2851,""en"",""hr"")"),"Vijak")</f>
        <v>Vijak</v>
      </c>
    </row>
    <row r="2993" spans="1:2" x14ac:dyDescent="0.2">
      <c r="A2993" s="21" t="s">
        <v>855</v>
      </c>
      <c r="B2993" s="18" t="str">
        <f ca="1">IFERROR(__xludf.DUMMYFUNCTION("GOOGLETRANSLATE(C2523,""en"",""hr"")"),"Vijak")</f>
        <v>Vijak</v>
      </c>
    </row>
    <row r="2994" spans="1:2" x14ac:dyDescent="0.2">
      <c r="A2994" s="21" t="s">
        <v>929</v>
      </c>
      <c r="B2994" s="18" t="str">
        <f ca="1">IFERROR(__xludf.DUMMYFUNCTION("GOOGLETRANSLATE(C2800,""en"",""hr"")"),"Vijak")</f>
        <v>Vijak</v>
      </c>
    </row>
    <row r="2995" spans="1:2" x14ac:dyDescent="0.2">
      <c r="A2995" s="21" t="s">
        <v>891</v>
      </c>
      <c r="B2995" s="18" t="str">
        <f ca="1">IFERROR(__xludf.DUMMYFUNCTION("GOOGLETRANSLATE(C2604,""en"",""hr"")"),"Vijak")</f>
        <v>Vijak</v>
      </c>
    </row>
    <row r="2996" spans="1:2" x14ac:dyDescent="0.2">
      <c r="A2996" s="21" t="s">
        <v>611</v>
      </c>
      <c r="B2996" s="18" t="str">
        <f ca="1">IFERROR(__xludf.DUMMYFUNCTION("GOOGLETRANSLATE(C1892,""en"",""hr"")"),"Vijak")</f>
        <v>Vijak</v>
      </c>
    </row>
    <row r="2997" spans="1:2" x14ac:dyDescent="0.2">
      <c r="A2997" s="21" t="s">
        <v>609</v>
      </c>
      <c r="B2997" s="18" t="str">
        <f ca="1">IFERROR(__xludf.DUMMYFUNCTION("GOOGLETRANSLATE(C1886,""en"",""hr"")"),"Vijak")</f>
        <v>Vijak</v>
      </c>
    </row>
    <row r="2998" spans="1:2" x14ac:dyDescent="0.2">
      <c r="A2998" s="21" t="s">
        <v>453</v>
      </c>
      <c r="B2998" s="18" t="str">
        <f ca="1">IFERROR(__xludf.DUMMYFUNCTION("GOOGLETRANSLATE(C1090,""en"",""hr"")"),"Vijak")</f>
        <v>Vijak</v>
      </c>
    </row>
    <row r="2999" spans="1:2" x14ac:dyDescent="0.2">
      <c r="A2999" s="21" t="s">
        <v>995</v>
      </c>
      <c r="B2999" s="18" t="str">
        <f ca="1">IFERROR(__xludf.DUMMYFUNCTION("GOOGLETRANSLATE(C3177,""en"",""hr"")"),"Vijak")</f>
        <v>Vijak</v>
      </c>
    </row>
    <row r="3000" spans="1:2" x14ac:dyDescent="0.2">
      <c r="A3000" s="21" t="s">
        <v>1003</v>
      </c>
      <c r="B3000" s="18" t="str">
        <f ca="1">IFERROR(__xludf.DUMMYFUNCTION("GOOGLETRANSLATE(C3199,""en"",""hr"")"),"Vijak")</f>
        <v>Vijak</v>
      </c>
    </row>
    <row r="3001" spans="1:2" x14ac:dyDescent="0.2">
      <c r="A3001" s="21" t="s">
        <v>918</v>
      </c>
      <c r="B3001" s="18" t="str">
        <f ca="1">IFERROR(__xludf.DUMMYFUNCTION("GOOGLETRANSLATE(C2757,""en"",""hr"")"),"Vijak")</f>
        <v>Vijak</v>
      </c>
    </row>
    <row r="3002" spans="1:2" x14ac:dyDescent="0.2">
      <c r="A3002" s="21" t="s">
        <v>205</v>
      </c>
      <c r="B3002" s="18" t="str">
        <f ca="1">IFERROR(__xludf.DUMMYFUNCTION("GOOGLETRANSLATE(C440,""en"",""hr"")"),"Vijak")</f>
        <v>Vijak</v>
      </c>
    </row>
    <row r="3003" spans="1:2" x14ac:dyDescent="0.2">
      <c r="A3003" s="21" t="s">
        <v>687</v>
      </c>
      <c r="B3003" s="18" t="str">
        <f ca="1">IFERROR(__xludf.DUMMYFUNCTION("GOOGLETRANSLATE(C2168,""en"",""hr"")"),"Vijak")</f>
        <v>Vijak</v>
      </c>
    </row>
    <row r="3004" spans="1:2" x14ac:dyDescent="0.2">
      <c r="A3004" s="21" t="s">
        <v>1329</v>
      </c>
      <c r="B3004" s="18" t="str">
        <f ca="1">IFERROR(__xludf.DUMMYFUNCTION("GOOGLETRANSLATE(C4185,""en"",""hr"")"),"Vijak")</f>
        <v>Vijak</v>
      </c>
    </row>
    <row r="3005" spans="1:2" x14ac:dyDescent="0.2">
      <c r="A3005" s="21" t="s">
        <v>612</v>
      </c>
      <c r="B3005" s="18" t="str">
        <f ca="1">IFERROR(__xludf.DUMMYFUNCTION("GOOGLETRANSLATE(C1893,""en"",""hr"")"),"Vijak")</f>
        <v>Vijak</v>
      </c>
    </row>
    <row r="3006" spans="1:2" x14ac:dyDescent="0.2">
      <c r="A3006" s="21" t="s">
        <v>215</v>
      </c>
      <c r="B3006" s="18" t="str">
        <f ca="1">IFERROR(__xludf.DUMMYFUNCTION("GOOGLETRANSLATE(C456,""en"",""hr"")"),"Vijak")</f>
        <v>Vijak</v>
      </c>
    </row>
    <row r="3007" spans="1:2" x14ac:dyDescent="0.2">
      <c r="A3007" s="21" t="s">
        <v>816</v>
      </c>
      <c r="B3007" s="18" t="str">
        <f ca="1">IFERROR(__xludf.DUMMYFUNCTION("GOOGLETRANSLATE(C2466,""en"",""hr"")"),"Vijak")</f>
        <v>Vijak</v>
      </c>
    </row>
    <row r="3008" spans="1:2" x14ac:dyDescent="0.2">
      <c r="A3008" s="21" t="s">
        <v>381</v>
      </c>
      <c r="B3008" s="18" t="str">
        <f ca="1">IFERROR(__xludf.DUMMYFUNCTION("GOOGLETRANSLATE(C858,""en"",""hr"")"),"Vijak")</f>
        <v>Vijak</v>
      </c>
    </row>
    <row r="3009" spans="1:2" x14ac:dyDescent="0.2">
      <c r="A3009" s="21" t="s">
        <v>668</v>
      </c>
      <c r="B3009" s="18" t="str">
        <f ca="1">IFERROR(__xludf.DUMMYFUNCTION("GOOGLETRANSLATE(C2102,""en"",""hr"")"),"Vijak")</f>
        <v>Vijak</v>
      </c>
    </row>
    <row r="3010" spans="1:2" x14ac:dyDescent="0.2">
      <c r="A3010" s="21" t="s">
        <v>673</v>
      </c>
      <c r="B3010" s="18" t="str">
        <f ca="1">IFERROR(__xludf.DUMMYFUNCTION("GOOGLETRANSLATE(C2110,""en"",""hr"")"),"Vijak")</f>
        <v>Vijak</v>
      </c>
    </row>
    <row r="3011" spans="1:2" x14ac:dyDescent="0.2">
      <c r="A3011" s="21" t="s">
        <v>1081</v>
      </c>
      <c r="B3011" s="18" t="str">
        <f ca="1">IFERROR(__xludf.DUMMYFUNCTION("GOOGLETRANSLATE(C3488,""en"",""hr"")"),"Vijak")</f>
        <v>Vijak</v>
      </c>
    </row>
    <row r="3012" spans="1:2" x14ac:dyDescent="0.2">
      <c r="A3012" s="21" t="s">
        <v>672</v>
      </c>
      <c r="B3012" s="18" t="str">
        <f ca="1">IFERROR(__xludf.DUMMYFUNCTION("GOOGLETRANSLATE(C2109,""en"",""hr"")"),"Vijak")</f>
        <v>Vijak</v>
      </c>
    </row>
    <row r="3013" spans="1:2" x14ac:dyDescent="0.2">
      <c r="A3013" s="21" t="s">
        <v>145</v>
      </c>
      <c r="B3013" s="18" t="str">
        <f ca="1">IFERROR(__xludf.DUMMYFUNCTION("GOOGLETRANSLATE(C284,""en"",""hr"")"),"Vijak")</f>
        <v>Vijak</v>
      </c>
    </row>
    <row r="3014" spans="1:2" x14ac:dyDescent="0.2">
      <c r="A3014" s="21" t="s">
        <v>322</v>
      </c>
      <c r="B3014" s="18" t="str">
        <f ca="1">IFERROR(__xludf.DUMMYFUNCTION("GOOGLETRANSLATE(C730,""en"",""hr"")"),"Vijak")</f>
        <v>Vijak</v>
      </c>
    </row>
    <row r="3015" spans="1:2" x14ac:dyDescent="0.2">
      <c r="A3015" s="21" t="s">
        <v>210</v>
      </c>
      <c r="B3015" s="18" t="str">
        <f ca="1">IFERROR(__xludf.DUMMYFUNCTION("GOOGLETRANSLATE(C446,""en"",""hr"")"),"Vijak")</f>
        <v>Vijak</v>
      </c>
    </row>
    <row r="3016" spans="1:2" x14ac:dyDescent="0.2">
      <c r="A3016" s="21" t="s">
        <v>1393</v>
      </c>
      <c r="B3016" s="18" t="str">
        <f ca="1">IFERROR(__xludf.DUMMYFUNCTION("GOOGLETRANSLATE(C4471,""en"",""hr"")"),"Vijak")</f>
        <v>Vijak</v>
      </c>
    </row>
    <row r="3017" spans="1:2" x14ac:dyDescent="0.2">
      <c r="A3017" s="21" t="s">
        <v>1354</v>
      </c>
      <c r="B3017" s="18" t="str">
        <f ca="1">IFERROR(__xludf.DUMMYFUNCTION("GOOGLETRANSLATE(C4294,""en"",""hr"")"),"Vijak")</f>
        <v>Vijak</v>
      </c>
    </row>
    <row r="3018" spans="1:2" x14ac:dyDescent="0.2">
      <c r="A3018" s="21" t="s">
        <v>980</v>
      </c>
      <c r="B3018" s="18" t="str">
        <f ca="1">IFERROR(__xludf.DUMMYFUNCTION("GOOGLETRANSLATE(C3124,""en"",""hr"")"),"Vijak sa šesterokutnom glavom")</f>
        <v>Vijak sa šesterokutnom glavom</v>
      </c>
    </row>
    <row r="3019" spans="1:2" x14ac:dyDescent="0.2">
      <c r="A3019" s="21" t="s">
        <v>967</v>
      </c>
      <c r="B3019" s="18" t="str">
        <f ca="1">IFERROR(__xludf.DUMMYFUNCTION("GOOGLETRANSLATE(C3078,""en"",""hr"")"),"Vijak")</f>
        <v>Vijak</v>
      </c>
    </row>
    <row r="3020" spans="1:2" x14ac:dyDescent="0.2">
      <c r="A3020" s="21" t="s">
        <v>1710</v>
      </c>
      <c r="B3020" s="18" t="str">
        <f ca="1">IFERROR(__xludf.DUMMYFUNCTION("GOOGLETRANSLATE(C5934,""en"",""hr"")"),"Vijak")</f>
        <v>Vijak</v>
      </c>
    </row>
    <row r="3021" spans="1:2" x14ac:dyDescent="0.2">
      <c r="A3021" s="21" t="s">
        <v>992</v>
      </c>
      <c r="B3021" s="18" t="str">
        <f ca="1">IFERROR(__xludf.DUMMYFUNCTION("GOOGLETRANSLATE(C3173,""en"",""hr"")"),"Vijak")</f>
        <v>Vijak</v>
      </c>
    </row>
    <row r="3022" spans="1:2" x14ac:dyDescent="0.2">
      <c r="A3022" s="21" t="s">
        <v>731</v>
      </c>
      <c r="B3022" s="18" t="str">
        <f ca="1">IFERROR(__xludf.DUMMYFUNCTION("GOOGLETRANSLATE(C2290,""en"",""hr"")"),"Vijak")</f>
        <v>Vijak</v>
      </c>
    </row>
    <row r="3023" spans="1:2" x14ac:dyDescent="0.2">
      <c r="A3023" s="21" t="s">
        <v>327</v>
      </c>
      <c r="B3023" s="18" t="str">
        <f ca="1">IFERROR(__xludf.DUMMYFUNCTION("GOOGLETRANSLATE(C738,""en"",""hr"")"),"Vijak")</f>
        <v>Vijak</v>
      </c>
    </row>
    <row r="3024" spans="1:2" x14ac:dyDescent="0.2">
      <c r="A3024" s="21" t="s">
        <v>553</v>
      </c>
      <c r="B3024" s="18" t="str">
        <f ca="1">IFERROR(__xludf.DUMMYFUNCTION("GOOGLETRANSLATE(C1507,""en"",""hr"")"),"Vijak")</f>
        <v>Vijak</v>
      </c>
    </row>
    <row r="3025" spans="1:2" x14ac:dyDescent="0.2">
      <c r="A3025" s="21" t="s">
        <v>1734</v>
      </c>
      <c r="B3025" s="18" t="str">
        <f ca="1">IFERROR(__xludf.DUMMYFUNCTION("GOOGLETRANSLATE(C6027,""en"",""hr"")"),"Šesterokutni vijak")</f>
        <v>Šesterokutni vijak</v>
      </c>
    </row>
    <row r="3026" spans="1:2" x14ac:dyDescent="0.2">
      <c r="A3026" s="21" t="s">
        <v>190</v>
      </c>
      <c r="B3026" s="18" t="str">
        <f ca="1">IFERROR(__xludf.DUMMYFUNCTION("GOOGLETRANSLATE(C404,""en"",""hr"")"),"Vijak")</f>
        <v>Vijak</v>
      </c>
    </row>
    <row r="3027" spans="1:2" x14ac:dyDescent="0.2">
      <c r="A3027" s="21" t="s">
        <v>172</v>
      </c>
      <c r="B3027" s="18" t="str">
        <f ca="1">IFERROR(__xludf.DUMMYFUNCTION("GOOGLETRANSLATE(C337,""en"",""hr"")"),"Šesterokutni vijak")</f>
        <v>Šesterokutni vijak</v>
      </c>
    </row>
    <row r="3028" spans="1:2" x14ac:dyDescent="0.2">
      <c r="A3028" s="21" t="s">
        <v>1091</v>
      </c>
      <c r="B3028" s="18" t="str">
        <f ca="1">IFERROR(__xludf.DUMMYFUNCTION("GOOGLETRANSLATE(C3515,""en"",""hr"")"),"Vijak sa šesterokutnom glavom")</f>
        <v>Vijak sa šesterokutnom glavom</v>
      </c>
    </row>
    <row r="3029" spans="1:2" x14ac:dyDescent="0.2">
      <c r="A3029" s="21" t="s">
        <v>991</v>
      </c>
      <c r="B3029" s="18" t="str">
        <f ca="1">IFERROR(__xludf.DUMMYFUNCTION("GOOGLETRANSLATE(C3170,""en"",""hr"")"),"Vijak")</f>
        <v>Vijak</v>
      </c>
    </row>
    <row r="3030" spans="1:2" x14ac:dyDescent="0.2">
      <c r="A3030" s="21" t="s">
        <v>334</v>
      </c>
      <c r="B3030" s="18" t="str">
        <f ca="1">IFERROR(__xludf.DUMMYFUNCTION("GOOGLETRANSLATE(C751,""en"",""hr"")"),"Vijak")</f>
        <v>Vijak</v>
      </c>
    </row>
    <row r="3031" spans="1:2" x14ac:dyDescent="0.2">
      <c r="A3031" s="21" t="s">
        <v>716</v>
      </c>
      <c r="B3031" s="18" t="str">
        <f ca="1">IFERROR(__xludf.DUMMYFUNCTION("GOOGLETRANSLATE(C2261,""en"",""hr"")"),"Vijak")</f>
        <v>Vijak</v>
      </c>
    </row>
    <row r="3032" spans="1:2" x14ac:dyDescent="0.2">
      <c r="A3032" s="21" t="s">
        <v>1331</v>
      </c>
      <c r="B3032" s="18" t="str">
        <f ca="1">IFERROR(__xludf.DUMMYFUNCTION("GOOGLETRANSLATE(C4194,""en"",""hr"")"),"Vijak")</f>
        <v>Vijak</v>
      </c>
    </row>
    <row r="3033" spans="1:2" x14ac:dyDescent="0.2">
      <c r="A3033" s="21" t="s">
        <v>1126</v>
      </c>
      <c r="B3033" s="18" t="str">
        <f ca="1">IFERROR(__xludf.DUMMYFUNCTION("GOOGLETRANSLATE(C3663,""en"",""hr"")"),"Vijak")</f>
        <v>Vijak</v>
      </c>
    </row>
    <row r="3034" spans="1:2" x14ac:dyDescent="0.2">
      <c r="A3034" s="21" t="s">
        <v>300</v>
      </c>
      <c r="B3034" s="18" t="str">
        <f ca="1">IFERROR(__xludf.DUMMYFUNCTION("GOOGLETRANSLATE(C667,""en"",""hr"")"),"Vijak")</f>
        <v>Vijak</v>
      </c>
    </row>
    <row r="3035" spans="1:2" x14ac:dyDescent="0.2">
      <c r="A3035" s="21" t="s">
        <v>604</v>
      </c>
      <c r="B3035" s="18" t="str">
        <f ca="1">IFERROR(__xludf.DUMMYFUNCTION("GOOGLETRANSLATE(C1822,""en"",""hr"")"),"Vijak")</f>
        <v>Vijak</v>
      </c>
    </row>
    <row r="3036" spans="1:2" x14ac:dyDescent="0.2">
      <c r="A3036" s="21" t="s">
        <v>446</v>
      </c>
      <c r="B3036" s="18" t="str">
        <f ca="1">IFERROR(__xludf.DUMMYFUNCTION("GOOGLETRANSLATE(C1069,""en"",""hr"")"),"Vijak")</f>
        <v>Vijak</v>
      </c>
    </row>
    <row r="3037" spans="1:2" x14ac:dyDescent="0.2">
      <c r="A3037" s="21" t="s">
        <v>191</v>
      </c>
      <c r="B3037" s="18" t="str">
        <f ca="1">IFERROR(__xludf.DUMMYFUNCTION("GOOGLETRANSLATE(C407,""en"",""hr"")"),"Vijak")</f>
        <v>Vijak</v>
      </c>
    </row>
    <row r="3038" spans="1:2" x14ac:dyDescent="0.2">
      <c r="A3038" s="21" t="s">
        <v>1839</v>
      </c>
      <c r="B3038" s="18" t="str">
        <f ca="1">IFERROR(__xludf.DUMMYFUNCTION("GOOGLETRANSLATE(C6432,""en"",""hr"")"),"Vijak")</f>
        <v>Vijak</v>
      </c>
    </row>
    <row r="3039" spans="1:2" x14ac:dyDescent="0.2">
      <c r="A3039" s="21" t="s">
        <v>1310</v>
      </c>
      <c r="B3039" s="18" t="str">
        <f ca="1">IFERROR(__xludf.DUMMYFUNCTION("GOOGLETRANSLATE(C4134,""en"",""hr"")"),"Vijak")</f>
        <v>Vijak</v>
      </c>
    </row>
    <row r="3040" spans="1:2" x14ac:dyDescent="0.2">
      <c r="A3040" s="21" t="s">
        <v>182</v>
      </c>
      <c r="B3040" s="18" t="str">
        <f ca="1">IFERROR(__xludf.DUMMYFUNCTION("GOOGLETRANSLATE(C368,""en"",""hr"")"),"Vijak")</f>
        <v>Vijak</v>
      </c>
    </row>
    <row r="3041" spans="1:2" x14ac:dyDescent="0.2">
      <c r="A3041" s="21" t="s">
        <v>280</v>
      </c>
      <c r="B3041" s="18" t="str">
        <f ca="1">IFERROR(__xludf.DUMMYFUNCTION("GOOGLETRANSLATE(C621,""en"",""hr"")"),"Vijak")</f>
        <v>Vijak</v>
      </c>
    </row>
    <row r="3042" spans="1:2" x14ac:dyDescent="0.2">
      <c r="A3042" s="21" t="s">
        <v>221</v>
      </c>
      <c r="B3042" s="18" t="str">
        <f ca="1">IFERROR(__xludf.DUMMYFUNCTION("GOOGLETRANSLATE(C470,""en"",""hr"")"),"Vijak")</f>
        <v>Vijak</v>
      </c>
    </row>
    <row r="3043" spans="1:2" x14ac:dyDescent="0.2">
      <c r="A3043" s="21" t="s">
        <v>198</v>
      </c>
      <c r="B3043" s="18" t="str">
        <f ca="1">IFERROR(__xludf.DUMMYFUNCTION("GOOGLETRANSLATE(C430,""en"",""hr"")"),"Vijak")</f>
        <v>Vijak</v>
      </c>
    </row>
    <row r="3044" spans="1:2" x14ac:dyDescent="0.2">
      <c r="A3044" s="21" t="s">
        <v>168</v>
      </c>
      <c r="B3044" s="18" t="str">
        <f ca="1">IFERROR(__xludf.DUMMYFUNCTION("GOOGLETRANSLATE(C324,""en"",""hr"")"),"Vijak")</f>
        <v>Vijak</v>
      </c>
    </row>
    <row r="3045" spans="1:2" x14ac:dyDescent="0.2">
      <c r="A3045" s="21" t="s">
        <v>152</v>
      </c>
      <c r="B3045" s="18" t="str">
        <f ca="1">IFERROR(__xludf.DUMMYFUNCTION("GOOGLETRANSLATE(C295,""en"",""hr"")"),"Vijak")</f>
        <v>Vijak</v>
      </c>
    </row>
    <row r="3046" spans="1:2" x14ac:dyDescent="0.2">
      <c r="A3046" s="21" t="s">
        <v>521</v>
      </c>
      <c r="B3046" s="18" t="str">
        <f ca="1">IFERROR(__xludf.DUMMYFUNCTION("GOOGLETRANSLATE(C1346,""en"",""hr"")"),"Vijak")</f>
        <v>Vijak</v>
      </c>
    </row>
    <row r="3047" spans="1:2" x14ac:dyDescent="0.2">
      <c r="A3047" s="21" t="s">
        <v>1214</v>
      </c>
      <c r="B3047" s="18" t="str">
        <f ca="1">IFERROR(__xludf.DUMMYFUNCTION("GOOGLETRANSLATE(C3846,""en"",""hr"")"),"Vijak")</f>
        <v>Vijak</v>
      </c>
    </row>
    <row r="3048" spans="1:2" x14ac:dyDescent="0.2">
      <c r="A3048" s="21" t="s">
        <v>476</v>
      </c>
      <c r="B3048" s="18" t="str">
        <f ca="1">IFERROR(__xludf.DUMMYFUNCTION("GOOGLETRANSLATE(C1149,""en"",""hr"")"),"Vijak")</f>
        <v>Vijak</v>
      </c>
    </row>
    <row r="3049" spans="1:2" x14ac:dyDescent="0.2">
      <c r="A3049" s="21" t="s">
        <v>1403</v>
      </c>
      <c r="B3049" s="18" t="str">
        <f ca="1">IFERROR(__xludf.DUMMYFUNCTION("GOOGLETRANSLATE(C4554,""en"",""hr"")"),"Vijak")</f>
        <v>Vijak</v>
      </c>
    </row>
    <row r="3050" spans="1:2" x14ac:dyDescent="0.2">
      <c r="A3050" s="21" t="s">
        <v>712</v>
      </c>
      <c r="B3050" s="18" t="str">
        <f ca="1">IFERROR(__xludf.DUMMYFUNCTION("GOOGLETRANSLATE(C2249,""en"",""hr"")"),"Vijak")</f>
        <v>Vijak</v>
      </c>
    </row>
    <row r="3051" spans="1:2" x14ac:dyDescent="0.2">
      <c r="A3051" s="21" t="s">
        <v>874</v>
      </c>
      <c r="B3051" s="18" t="str">
        <f ca="1">IFERROR(__xludf.DUMMYFUNCTION("GOOGLETRANSLATE(C2563,""en"",""hr"")"),"Vijak")</f>
        <v>Vijak</v>
      </c>
    </row>
    <row r="3052" spans="1:2" x14ac:dyDescent="0.2">
      <c r="A3052" s="21" t="s">
        <v>601</v>
      </c>
      <c r="B3052" s="18" t="str">
        <f ca="1">IFERROR(__xludf.DUMMYFUNCTION("GOOGLETRANSLATE(C1754,""en"",""hr"")"),"Vijak")</f>
        <v>Vijak</v>
      </c>
    </row>
    <row r="3053" spans="1:2" x14ac:dyDescent="0.2">
      <c r="A3053" s="21" t="s">
        <v>378</v>
      </c>
      <c r="B3053" s="18" t="str">
        <f ca="1">IFERROR(__xludf.DUMMYFUNCTION("GOOGLETRANSLATE(C855,""en"",""hr"")"),"Vijak")</f>
        <v>Vijak</v>
      </c>
    </row>
    <row r="3054" spans="1:2" x14ac:dyDescent="0.2">
      <c r="A3054" s="21" t="s">
        <v>150</v>
      </c>
      <c r="B3054" s="18" t="str">
        <f ca="1">IFERROR(__xludf.DUMMYFUNCTION("GOOGLETRANSLATE(C290,""en"",""hr"")"),"Vijak")</f>
        <v>Vijak</v>
      </c>
    </row>
    <row r="3055" spans="1:2" x14ac:dyDescent="0.2">
      <c r="A3055" s="21" t="s">
        <v>317</v>
      </c>
      <c r="B3055" s="18" t="str">
        <f ca="1">IFERROR(__xludf.DUMMYFUNCTION("GOOGLETRANSLATE(C720,""en"",""hr"")"),"Vijak")</f>
        <v>Vijak</v>
      </c>
    </row>
    <row r="3056" spans="1:2" x14ac:dyDescent="0.2">
      <c r="A3056" s="21" t="s">
        <v>603</v>
      </c>
      <c r="B3056" s="18" t="str">
        <f ca="1">IFERROR(__xludf.DUMMYFUNCTION("GOOGLETRANSLATE(C1774,""en"",""hr"")"),"Vijak")</f>
        <v>Vijak</v>
      </c>
    </row>
    <row r="3057" spans="1:2" x14ac:dyDescent="0.2">
      <c r="A3057" s="21" t="s">
        <v>610</v>
      </c>
      <c r="B3057" s="18" t="str">
        <f ca="1">IFERROR(__xludf.DUMMYFUNCTION("GOOGLETRANSLATE(C1888,""en"",""hr"")"),"Vijak")</f>
        <v>Vijak</v>
      </c>
    </row>
    <row r="3058" spans="1:2" x14ac:dyDescent="0.2">
      <c r="A3058" s="21" t="s">
        <v>651</v>
      </c>
      <c r="B3058" s="18" t="str">
        <f ca="1">IFERROR(__xludf.DUMMYFUNCTION("GOOGLETRANSLATE(C2036,""en"",""hr"")"),"Vijak")</f>
        <v>Vijak</v>
      </c>
    </row>
    <row r="3059" spans="1:2" x14ac:dyDescent="0.2">
      <c r="A3059" s="21" t="s">
        <v>1378</v>
      </c>
      <c r="B3059" s="18" t="str">
        <f ca="1">IFERROR(__xludf.DUMMYFUNCTION("GOOGLETRANSLATE(C4367,""en"",""hr"")"),"Vijak")</f>
        <v>Vijak</v>
      </c>
    </row>
    <row r="3060" spans="1:2" x14ac:dyDescent="0.2">
      <c r="A3060" s="21" t="s">
        <v>539</v>
      </c>
      <c r="B3060" s="18" t="str">
        <f ca="1">IFERROR(__xludf.DUMMYFUNCTION("GOOGLETRANSLATE(C1412,""en"",""hr"")"),"Vijak")</f>
        <v>Vijak</v>
      </c>
    </row>
    <row r="3061" spans="1:2" x14ac:dyDescent="0.2">
      <c r="A3061" s="21" t="s">
        <v>1116</v>
      </c>
      <c r="B3061" s="18" t="str">
        <f ca="1">IFERROR(__xludf.DUMMYFUNCTION("GOOGLETRANSLATE(C3615,""en"",""hr"")"),"Vijak")</f>
        <v>Vijak</v>
      </c>
    </row>
    <row r="3062" spans="1:2" x14ac:dyDescent="0.2">
      <c r="A3062" s="21" t="s">
        <v>536</v>
      </c>
      <c r="B3062" s="18" t="str">
        <f ca="1">IFERROR(__xludf.DUMMYFUNCTION("GOOGLETRANSLATE(C1400,""en"",""hr"")"),"Vijak")</f>
        <v>Vijak</v>
      </c>
    </row>
    <row r="3063" spans="1:2" x14ac:dyDescent="0.2">
      <c r="A3063" s="21" t="s">
        <v>713</v>
      </c>
      <c r="B3063" s="18" t="str">
        <f ca="1">IFERROR(__xludf.DUMMYFUNCTION("GOOGLETRANSLATE(C2251,""en"",""hr"")"),"Vijak")</f>
        <v>Vijak</v>
      </c>
    </row>
    <row r="3064" spans="1:2" x14ac:dyDescent="0.2">
      <c r="A3064" s="21" t="s">
        <v>615</v>
      </c>
      <c r="B3064" s="18" t="str">
        <f ca="1">IFERROR(__xludf.DUMMYFUNCTION("GOOGLETRANSLATE(C1908,""en"",""hr"")"),"Vijak")</f>
        <v>Vijak</v>
      </c>
    </row>
    <row r="3065" spans="1:2" x14ac:dyDescent="0.2">
      <c r="A3065" s="21" t="s">
        <v>945</v>
      </c>
      <c r="B3065" s="18" t="str">
        <f ca="1">IFERROR(__xludf.DUMMYFUNCTION("GOOGLETRANSLATE(C3000,""en"",""hr"")"),"Vijak")</f>
        <v>Vijak</v>
      </c>
    </row>
    <row r="3066" spans="1:2" x14ac:dyDescent="0.2">
      <c r="A3066" s="21" t="s">
        <v>171</v>
      </c>
      <c r="B3066" s="18" t="str">
        <f ca="1">IFERROR(__xludf.DUMMYFUNCTION("GOOGLETRANSLATE(C332,""en"",""hr"")"),"Vijak")</f>
        <v>Vijak</v>
      </c>
    </row>
    <row r="3067" spans="1:2" x14ac:dyDescent="0.2">
      <c r="A3067" s="21" t="s">
        <v>148</v>
      </c>
      <c r="B3067" s="18" t="str">
        <f ca="1">IFERROR(__xludf.DUMMYFUNCTION("GOOGLETRANSLATE(C288,""en"",""hr"")"),"Vijak")</f>
        <v>Vijak</v>
      </c>
    </row>
    <row r="3068" spans="1:2" x14ac:dyDescent="0.2">
      <c r="A3068" s="21" t="s">
        <v>214</v>
      </c>
      <c r="B3068" s="18" t="str">
        <f ca="1">IFERROR(__xludf.DUMMYFUNCTION("GOOGLETRANSLATE(C450,""en"",""hr"")"),"Vijak")</f>
        <v>Vijak</v>
      </c>
    </row>
    <row r="3069" spans="1:2" x14ac:dyDescent="0.2">
      <c r="A3069" s="21" t="s">
        <v>439</v>
      </c>
      <c r="B3069" s="18" t="str">
        <f ca="1">IFERROR(__xludf.DUMMYFUNCTION("GOOGLETRANSLATE(C1057,""en"",""hr"")"),"Vijak")</f>
        <v>Vijak</v>
      </c>
    </row>
    <row r="3070" spans="1:2" x14ac:dyDescent="0.2">
      <c r="A3070" s="21" t="s">
        <v>678</v>
      </c>
      <c r="B3070" s="18" t="str">
        <f ca="1">IFERROR(__xludf.DUMMYFUNCTION("GOOGLETRANSLATE(C2119,""en"",""hr"")"),"Vijak")</f>
        <v>Vijak</v>
      </c>
    </row>
    <row r="3071" spans="1:2" x14ac:dyDescent="0.2">
      <c r="A3071" s="21" t="s">
        <v>161</v>
      </c>
      <c r="B3071" s="18" t="str">
        <f ca="1">IFERROR(__xludf.DUMMYFUNCTION("GOOGLETRANSLATE(C311,""en"",""hr"")"),"Vijak")</f>
        <v>Vijak</v>
      </c>
    </row>
    <row r="3072" spans="1:2" x14ac:dyDescent="0.2">
      <c r="A3072" s="21" t="s">
        <v>1261</v>
      </c>
      <c r="B3072" s="18" t="str">
        <f ca="1">IFERROR(__xludf.DUMMYFUNCTION("GOOGLETRANSLATE(C3986,""en"",""hr"")"),"Vijak")</f>
        <v>Vijak</v>
      </c>
    </row>
    <row r="3073" spans="1:2" x14ac:dyDescent="0.2">
      <c r="A3073" s="21" t="s">
        <v>865</v>
      </c>
      <c r="B3073" s="18" t="str">
        <f ca="1">IFERROR(__xludf.DUMMYFUNCTION("GOOGLETRANSLATE(C2538,""en"",""hr"")"),"Vijak")</f>
        <v>Vijak</v>
      </c>
    </row>
    <row r="3074" spans="1:2" x14ac:dyDescent="0.2">
      <c r="A3074" s="21" t="s">
        <v>1651</v>
      </c>
      <c r="B3074" s="18" t="str">
        <f ca="1">IFERROR(__xludf.DUMMYFUNCTION("GOOGLETRANSLATE(C5608,""en"",""hr"")"),"Vijak")</f>
        <v>Vijak</v>
      </c>
    </row>
    <row r="3075" spans="1:2" x14ac:dyDescent="0.2">
      <c r="A3075" s="21" t="s">
        <v>946</v>
      </c>
      <c r="B3075" s="18" t="str">
        <f ca="1">IFERROR(__xludf.DUMMYFUNCTION("GOOGLETRANSLATE(C3001,""en"",""hr"")"),"Vijak")</f>
        <v>Vijak</v>
      </c>
    </row>
    <row r="3076" spans="1:2" x14ac:dyDescent="0.2">
      <c r="A3076" s="21" t="s">
        <v>733</v>
      </c>
      <c r="B3076" s="18" t="str">
        <f ca="1">IFERROR(__xludf.DUMMYFUNCTION("GOOGLETRANSLATE(C2300,""en"",""hr"")"),"Vijak")</f>
        <v>Vijak</v>
      </c>
    </row>
    <row r="3077" spans="1:2" x14ac:dyDescent="0.2">
      <c r="A3077" s="21" t="s">
        <v>933</v>
      </c>
      <c r="B3077" s="18" t="str">
        <f ca="1">IFERROR(__xludf.DUMMYFUNCTION("GOOGLETRANSLATE(C2850,""en"",""hr"")"),"Vijak")</f>
        <v>Vijak</v>
      </c>
    </row>
    <row r="3078" spans="1:2" x14ac:dyDescent="0.2">
      <c r="A3078" s="21" t="s">
        <v>719</v>
      </c>
      <c r="B3078" s="18" t="str">
        <f ca="1">IFERROR(__xludf.DUMMYFUNCTION("GOOGLETRANSLATE(C2271,""en"",""hr"")"),"Vijak")</f>
        <v>Vijak</v>
      </c>
    </row>
    <row r="3079" spans="1:2" x14ac:dyDescent="0.2">
      <c r="A3079" s="21" t="s">
        <v>807</v>
      </c>
      <c r="B3079" s="18" t="str">
        <f ca="1">IFERROR(__xludf.DUMMYFUNCTION("GOOGLETRANSLATE(C2451,""en"",""hr"")"),"Vijak")</f>
        <v>Vijak</v>
      </c>
    </row>
    <row r="3080" spans="1:2" x14ac:dyDescent="0.2">
      <c r="A3080" s="21" t="s">
        <v>389</v>
      </c>
      <c r="B3080" s="18" t="str">
        <f ca="1">IFERROR(__xludf.DUMMYFUNCTION("GOOGLETRANSLATE(C912,""en"",""hr"")"),"Vijak")</f>
        <v>Vijak</v>
      </c>
    </row>
    <row r="3081" spans="1:2" x14ac:dyDescent="0.2">
      <c r="A3081" s="21" t="s">
        <v>379</v>
      </c>
      <c r="B3081" s="18" t="str">
        <f ca="1">IFERROR(__xludf.DUMMYFUNCTION("GOOGLETRANSLATE(C856,""en"",""hr"")"),"Vijak")</f>
        <v>Vijak</v>
      </c>
    </row>
    <row r="3082" spans="1:2" x14ac:dyDescent="0.2">
      <c r="A3082" s="21" t="s">
        <v>866</v>
      </c>
      <c r="B3082" s="18" t="str">
        <f ca="1">IFERROR(__xludf.DUMMYFUNCTION("GOOGLETRANSLATE(C2540,""en"",""hr"")"),"Vijak")</f>
        <v>Vijak</v>
      </c>
    </row>
    <row r="3083" spans="1:2" x14ac:dyDescent="0.2">
      <c r="A3083" s="21" t="s">
        <v>676</v>
      </c>
      <c r="B3083" s="18" t="str">
        <f ca="1">IFERROR(__xludf.DUMMYFUNCTION("GOOGLETRANSLATE(C2116,""en"",""hr"")"),"Vijak")</f>
        <v>Vijak</v>
      </c>
    </row>
    <row r="3084" spans="1:2" x14ac:dyDescent="0.2">
      <c r="A3084" s="21" t="s">
        <v>543</v>
      </c>
      <c r="B3084" s="18" t="str">
        <f ca="1">IFERROR(__xludf.DUMMYFUNCTION("GOOGLETRANSLATE(C1436,""en"",""hr"")"),"Vijak")</f>
        <v>Vijak</v>
      </c>
    </row>
    <row r="3085" spans="1:2" x14ac:dyDescent="0.2">
      <c r="A3085" s="21" t="s">
        <v>472</v>
      </c>
      <c r="B3085" s="18" t="str">
        <f ca="1">IFERROR(__xludf.DUMMYFUNCTION("GOOGLETRANSLATE(C1131,""en"",""hr"")"),"Vijak")</f>
        <v>Vijak</v>
      </c>
    </row>
    <row r="3086" spans="1:2" x14ac:dyDescent="0.2">
      <c r="A3086" s="21" t="s">
        <v>657</v>
      </c>
      <c r="B3086" s="18" t="str">
        <f ca="1">IFERROR(__xludf.DUMMYFUNCTION("GOOGLETRANSLATE(C2068,""en"",""hr"")"),"Vijak sa šesterokutnom glavom")</f>
        <v>Vijak sa šesterokutnom glavom</v>
      </c>
    </row>
    <row r="3087" spans="1:2" x14ac:dyDescent="0.2">
      <c r="A3087" s="21" t="s">
        <v>1719</v>
      </c>
      <c r="B3087" s="18" t="str">
        <f ca="1">IFERROR(__xludf.DUMMYFUNCTION("GOOGLETRANSLATE(C5972,""en"",""hr"")"),"Vijak")</f>
        <v>Vijak</v>
      </c>
    </row>
    <row r="3088" spans="1:2" x14ac:dyDescent="0.2">
      <c r="A3088" s="21" t="s">
        <v>1390</v>
      </c>
      <c r="B3088" s="18" t="str">
        <f ca="1">IFERROR(__xludf.DUMMYFUNCTION("GOOGLETRANSLATE(C4443,""en"",""hr"")"),"Vijak")</f>
        <v>Vijak</v>
      </c>
    </row>
    <row r="3089" spans="1:2" x14ac:dyDescent="0.2">
      <c r="A3089" s="21" t="s">
        <v>1913</v>
      </c>
      <c r="B3089" s="18" t="str">
        <f ca="1">IFERROR(__xludf.DUMMYFUNCTION("GOOGLETRANSLATE(C6672,""en"",""hr"")"),"Vijak")</f>
        <v>Vijak</v>
      </c>
    </row>
    <row r="3090" spans="1:2" x14ac:dyDescent="0.2">
      <c r="A3090" s="21" t="s">
        <v>674</v>
      </c>
      <c r="B3090" s="18" t="str">
        <f ca="1">IFERROR(__xludf.DUMMYFUNCTION("GOOGLETRANSLATE(C2111,""en"",""hr"")"),"Vijak")</f>
        <v>Vijak</v>
      </c>
    </row>
    <row r="3091" spans="1:2" x14ac:dyDescent="0.2">
      <c r="A3091" s="21" t="s">
        <v>1330</v>
      </c>
      <c r="B3091" s="18" t="str">
        <f ca="1">IFERROR(__xludf.DUMMYFUNCTION("GOOGLETRANSLATE(C4193,""en"",""hr"")"),"Vijak")</f>
        <v>Vijak</v>
      </c>
    </row>
    <row r="3092" spans="1:2" x14ac:dyDescent="0.2">
      <c r="A3092" s="21" t="s">
        <v>913</v>
      </c>
      <c r="B3092" s="18" t="str">
        <f ca="1">IFERROR(__xludf.DUMMYFUNCTION("GOOGLETRANSLATE(C2743,""en"",""hr"")"),"Vijak")</f>
        <v>Vijak</v>
      </c>
    </row>
    <row r="3093" spans="1:2" x14ac:dyDescent="0.2">
      <c r="A3093" s="21" t="s">
        <v>1463</v>
      </c>
      <c r="B3093" s="18" t="str">
        <f ca="1">IFERROR(__xludf.DUMMYFUNCTION("GOOGLETRANSLATE(C4885,""en"",""hr"")"),"Vijak")</f>
        <v>Vijak</v>
      </c>
    </row>
    <row r="3094" spans="1:2" x14ac:dyDescent="0.2">
      <c r="A3094" s="21" t="s">
        <v>1663</v>
      </c>
      <c r="B3094" s="18" t="str">
        <f ca="1">IFERROR(__xludf.DUMMYFUNCTION("GOOGLETRANSLATE(C5656,""en"",""hr"")"),"Vijak")</f>
        <v>Vijak</v>
      </c>
    </row>
    <row r="3095" spans="1:2" x14ac:dyDescent="0.2">
      <c r="A3095" s="21" t="s">
        <v>1465</v>
      </c>
      <c r="B3095" s="18" t="str">
        <f ca="1">IFERROR(__xludf.DUMMYFUNCTION("GOOGLETRANSLATE(C4887,""en"",""hr"")"),"Vijak")</f>
        <v>Vijak</v>
      </c>
    </row>
    <row r="3096" spans="1:2" x14ac:dyDescent="0.2">
      <c r="A3096" s="21" t="s">
        <v>527</v>
      </c>
      <c r="B3096" s="18" t="str">
        <f ca="1">IFERROR(__xludf.DUMMYFUNCTION("GOOGLETRANSLATE(C1373,""en"",""hr"")"),"Vijak")</f>
        <v>Vijak</v>
      </c>
    </row>
    <row r="3097" spans="1:2" x14ac:dyDescent="0.2">
      <c r="A3097" s="21" t="s">
        <v>410</v>
      </c>
      <c r="B3097" s="18" t="str">
        <f ca="1">IFERROR(__xludf.DUMMYFUNCTION("GOOGLETRANSLATE(C964,""en"",""hr"")"),"Vijak")</f>
        <v>Vijak</v>
      </c>
    </row>
    <row r="3098" spans="1:2" x14ac:dyDescent="0.2">
      <c r="A3098" s="21" t="s">
        <v>174</v>
      </c>
      <c r="B3098" s="18" t="str">
        <f ca="1">IFERROR(__xludf.DUMMYFUNCTION("GOOGLETRANSLATE(C341,""en"",""hr"")"),"Vijak")</f>
        <v>Vijak</v>
      </c>
    </row>
    <row r="3099" spans="1:2" x14ac:dyDescent="0.2">
      <c r="A3099" s="21" t="s">
        <v>411</v>
      </c>
      <c r="B3099" s="18" t="str">
        <f ca="1">IFERROR(__xludf.DUMMYFUNCTION("GOOGLETRANSLATE(C966,""en"",""hr"")"),"Vijak")</f>
        <v>Vijak</v>
      </c>
    </row>
    <row r="3100" spans="1:2" x14ac:dyDescent="0.2">
      <c r="A3100" s="21" t="s">
        <v>1852</v>
      </c>
      <c r="B3100" s="18" t="str">
        <f ca="1">IFERROR(__xludf.DUMMYFUNCTION("GOOGLETRANSLATE(C6500,""en"",""hr"")"),"Vijak")</f>
        <v>Vijak</v>
      </c>
    </row>
    <row r="3101" spans="1:2" x14ac:dyDescent="0.2">
      <c r="A3101" s="21" t="s">
        <v>1367</v>
      </c>
      <c r="B3101" s="18" t="str">
        <f ca="1">IFERROR(__xludf.DUMMYFUNCTION("GOOGLETRANSLATE(C4342,""en"",""hr"")"),"Vijak")</f>
        <v>Vijak</v>
      </c>
    </row>
    <row r="3102" spans="1:2" x14ac:dyDescent="0.2">
      <c r="A3102" s="21" t="s">
        <v>496</v>
      </c>
      <c r="B3102" s="18" t="str">
        <f ca="1">IFERROR(__xludf.DUMMYFUNCTION("GOOGLETRANSLATE(C1211,""en"",""hr"")"),"Vijak")</f>
        <v>Vijak</v>
      </c>
    </row>
    <row r="3103" spans="1:2" x14ac:dyDescent="0.2">
      <c r="A3103" s="21" t="s">
        <v>498</v>
      </c>
      <c r="B3103" s="18" t="str">
        <f ca="1">IFERROR(__xludf.DUMMYFUNCTION("GOOGLETRANSLATE(C1235,""en"",""hr"")"),"Vijak")</f>
        <v>Vijak</v>
      </c>
    </row>
    <row r="3104" spans="1:2" x14ac:dyDescent="0.2">
      <c r="A3104" s="21" t="s">
        <v>561</v>
      </c>
      <c r="B3104" s="18" t="str">
        <f ca="1">IFERROR(__xludf.DUMMYFUNCTION("GOOGLETRANSLATE(C1566,""en"",""hr"")"),"Vijak")</f>
        <v>Vijak</v>
      </c>
    </row>
    <row r="3105" spans="1:2" x14ac:dyDescent="0.2">
      <c r="A3105" s="21" t="s">
        <v>650</v>
      </c>
      <c r="B3105" s="18" t="str">
        <f ca="1">IFERROR(__xludf.DUMMYFUNCTION("GOOGLETRANSLATE(C2027,""en"",""hr"")"),"Vijak")</f>
        <v>Vijak</v>
      </c>
    </row>
    <row r="3106" spans="1:2" x14ac:dyDescent="0.2">
      <c r="A3106" s="21" t="s">
        <v>560</v>
      </c>
      <c r="B3106" s="18" t="str">
        <f ca="1">IFERROR(__xludf.DUMMYFUNCTION("GOOGLETRANSLATE(C1562,""en"",""hr"")"),"Vijak")</f>
        <v>Vijak</v>
      </c>
    </row>
    <row r="3107" spans="1:2" x14ac:dyDescent="0.2">
      <c r="A3107" s="21" t="s">
        <v>1022</v>
      </c>
      <c r="B3107" s="18" t="str">
        <f ca="1">IFERROR(__xludf.DUMMYFUNCTION("GOOGLETRANSLATE(C3311,""en"",""hr"")"),"Vijak")</f>
        <v>Vijak</v>
      </c>
    </row>
    <row r="3108" spans="1:2" x14ac:dyDescent="0.2">
      <c r="A3108" s="21" t="s">
        <v>1020</v>
      </c>
      <c r="B3108" s="18" t="str">
        <f ca="1">IFERROR(__xludf.DUMMYFUNCTION("GOOGLETRANSLATE(C3293,""en"",""hr"")"),"Vijak")</f>
        <v>Vijak</v>
      </c>
    </row>
    <row r="3109" spans="1:2" x14ac:dyDescent="0.2">
      <c r="A3109" s="21" t="s">
        <v>1359</v>
      </c>
      <c r="B3109" s="18" t="str">
        <f ca="1">IFERROR(__xludf.DUMMYFUNCTION("GOOGLETRANSLATE(C4317,""en"",""hr"")"),"Vijak")</f>
        <v>Vijak</v>
      </c>
    </row>
    <row r="3110" spans="1:2" x14ac:dyDescent="0.2">
      <c r="A3110" s="21" t="s">
        <v>1015</v>
      </c>
      <c r="B3110" s="18" t="str">
        <f ca="1">IFERROR(__xludf.DUMMYFUNCTION("GOOGLETRANSLATE(C3286,""en"",""hr"")"),"Vijak")</f>
        <v>Vijak</v>
      </c>
    </row>
    <row r="3111" spans="1:2" x14ac:dyDescent="0.2">
      <c r="A3111" s="21" t="s">
        <v>1915</v>
      </c>
      <c r="B3111" s="18" t="str">
        <f ca="1">IFERROR(__xludf.DUMMYFUNCTION("GOOGLETRANSLATE(C6674,""en"",""hr"")"),"Vijak")</f>
        <v>Vijak</v>
      </c>
    </row>
    <row r="3112" spans="1:2" x14ac:dyDescent="0.2">
      <c r="A3112" s="21" t="s">
        <v>230</v>
      </c>
      <c r="B3112" s="18" t="str">
        <f ca="1">IFERROR(__xludf.DUMMYFUNCTION("GOOGLETRANSLATE(C481,""en"",""hr"")"),"Vijak")</f>
        <v>Vijak</v>
      </c>
    </row>
    <row r="3113" spans="1:2" x14ac:dyDescent="0.2">
      <c r="A3113" s="21" t="s">
        <v>310</v>
      </c>
      <c r="B3113" s="18" t="str">
        <f ca="1">IFERROR(__xludf.DUMMYFUNCTION("GOOGLETRANSLATE(C689,""en"",""hr"")"),"Vijak")</f>
        <v>Vijak</v>
      </c>
    </row>
    <row r="3114" spans="1:2" x14ac:dyDescent="0.2">
      <c r="A3114" s="21" t="s">
        <v>283</v>
      </c>
      <c r="B3114" s="18" t="str">
        <f ca="1">IFERROR(__xludf.DUMMYFUNCTION("GOOGLETRANSLATE(C628,""en"",""hr"")"),"Vijak")</f>
        <v>Vijak</v>
      </c>
    </row>
    <row r="3115" spans="1:2" x14ac:dyDescent="0.2">
      <c r="A3115" s="21" t="s">
        <v>220</v>
      </c>
      <c r="B3115" s="18" t="str">
        <f ca="1">IFERROR(__xludf.DUMMYFUNCTION("GOOGLETRANSLATE(C464,""en"",""hr"")"),"Vijak")</f>
        <v>Vijak</v>
      </c>
    </row>
    <row r="3116" spans="1:2" x14ac:dyDescent="0.2">
      <c r="A3116" s="21" t="s">
        <v>477</v>
      </c>
      <c r="B3116" s="18" t="str">
        <f ca="1">IFERROR(__xludf.DUMMYFUNCTION("GOOGLETRANSLATE(C1150,""en"",""hr"")"),"Vijak")</f>
        <v>Vijak</v>
      </c>
    </row>
    <row r="3117" spans="1:2" x14ac:dyDescent="0.2">
      <c r="A3117" s="21" t="s">
        <v>412</v>
      </c>
      <c r="B3117" s="18" t="str">
        <f ca="1">IFERROR(__xludf.DUMMYFUNCTION("GOOGLETRANSLATE(C969,""en"",""hr"")"),"Vijak")</f>
        <v>Vijak</v>
      </c>
    </row>
    <row r="3118" spans="1:2" x14ac:dyDescent="0.2">
      <c r="A3118" s="21" t="s">
        <v>630</v>
      </c>
      <c r="B3118" s="18" t="str">
        <f ca="1">IFERROR(__xludf.DUMMYFUNCTION("GOOGLETRANSLATE(C1940,""en"",""hr"")"),"Vijak sa šesterokutnom glavom")</f>
        <v>Vijak sa šesterokutnom glavom</v>
      </c>
    </row>
    <row r="3119" spans="1:2" x14ac:dyDescent="0.2">
      <c r="A3119" s="21" t="s">
        <v>1226</v>
      </c>
      <c r="B3119" s="18" t="str">
        <f ca="1">IFERROR(__xludf.DUMMYFUNCTION("GOOGLETRANSLATE(C3891,""en"",""hr"")"),"Vijak")</f>
        <v>Vijak</v>
      </c>
    </row>
    <row r="3120" spans="1:2" x14ac:dyDescent="0.2">
      <c r="A3120" s="21" t="s">
        <v>631</v>
      </c>
      <c r="B3120" s="18" t="str">
        <f ca="1">IFERROR(__xludf.DUMMYFUNCTION("GOOGLETRANSLATE(C1942,""en"",""hr"")"),"Vijak sa šesterokutnom glavom")</f>
        <v>Vijak sa šesterokutnom glavom</v>
      </c>
    </row>
    <row r="3121" spans="1:2" x14ac:dyDescent="0.2">
      <c r="A3121" s="21" t="s">
        <v>613</v>
      </c>
      <c r="B3121" s="18" t="str">
        <f ca="1">IFERROR(__xludf.DUMMYFUNCTION("GOOGLETRANSLATE(C1902,""en"",""hr"")"),"Vijak")</f>
        <v>Vijak</v>
      </c>
    </row>
    <row r="3122" spans="1:2" x14ac:dyDescent="0.2">
      <c r="A3122" s="21" t="s">
        <v>1714</v>
      </c>
      <c r="B3122" s="18" t="str">
        <f ca="1">IFERROR(__xludf.DUMMYFUNCTION("GOOGLETRANSLATE(C5954,""en"",""hr"")"),"Šesterokutni vijak")</f>
        <v>Šesterokutni vijak</v>
      </c>
    </row>
    <row r="3123" spans="1:2" x14ac:dyDescent="0.2">
      <c r="A3123" s="21" t="s">
        <v>1388</v>
      </c>
      <c r="B3123" s="18" t="str">
        <f ca="1">IFERROR(__xludf.DUMMYFUNCTION("GOOGLETRANSLATE(C4425,""en"",""hr"")"),"6Ct. vijak")</f>
        <v>6Ct. vijak</v>
      </c>
    </row>
    <row r="3124" spans="1:2" x14ac:dyDescent="0.2">
      <c r="A3124" s="21" t="s">
        <v>1389</v>
      </c>
      <c r="B3124" s="18" t="str">
        <f ca="1">IFERROR(__xludf.DUMMYFUNCTION("GOOGLETRANSLATE(C4426,""en"",""hr"")"),"Vijak")</f>
        <v>Vijak</v>
      </c>
    </row>
    <row r="3125" spans="1:2" x14ac:dyDescent="0.2">
      <c r="A3125" s="21" t="s">
        <v>1387</v>
      </c>
      <c r="B3125" s="18" t="str">
        <f ca="1">IFERROR(__xludf.DUMMYFUNCTION("GOOGLETRANSLATE(C4424,""en"",""hr"")"),"Vijak")</f>
        <v>Vijak</v>
      </c>
    </row>
    <row r="3126" spans="1:2" x14ac:dyDescent="0.2">
      <c r="A3126" s="21" t="s">
        <v>1676</v>
      </c>
      <c r="B3126" s="18" t="str">
        <f ca="1">IFERROR(__xludf.DUMMYFUNCTION("GOOGLETRANSLATE(C5791,""en"",""hr"")"),"imbus vijak")</f>
        <v>imbus vijak</v>
      </c>
    </row>
    <row r="3127" spans="1:2" x14ac:dyDescent="0.2">
      <c r="A3127" s="21" t="s">
        <v>1905</v>
      </c>
      <c r="B3127" s="18" t="str">
        <f ca="1">IFERROR(__xludf.DUMMYFUNCTION("GOOGLETRANSLATE(C6640,""en"",""hr"")"),"imbus vijak")</f>
        <v>imbus vijak</v>
      </c>
    </row>
    <row r="3128" spans="1:2" x14ac:dyDescent="0.2">
      <c r="A3128" s="21" t="s">
        <v>849</v>
      </c>
      <c r="B3128" s="18" t="str">
        <f ca="1">IFERROR(__xludf.DUMMYFUNCTION("GOOGLETRANSLATE(C2512,""en"",""hr"")"),"imbus vijak")</f>
        <v>imbus vijak</v>
      </c>
    </row>
    <row r="3129" spans="1:2" x14ac:dyDescent="0.2">
      <c r="A3129" s="21" t="s">
        <v>1726</v>
      </c>
      <c r="B3129" s="18" t="str">
        <f ca="1">IFERROR(__xludf.DUMMYFUNCTION("GOOGLETRANSLATE(C5991,""en"",""hr"")"),"Vijak s poklopcem")</f>
        <v>Vijak s poklopcem</v>
      </c>
    </row>
    <row r="3130" spans="1:2" x14ac:dyDescent="0.2">
      <c r="A3130" s="21" t="s">
        <v>1669</v>
      </c>
      <c r="B3130" s="18" t="str">
        <f ca="1">IFERROR(__xludf.DUMMYFUNCTION("GOOGLETRANSLATE(C5765,""en"",""hr"")"),"imbus vijak")</f>
        <v>imbus vijak</v>
      </c>
    </row>
    <row r="3131" spans="1:2" x14ac:dyDescent="0.2">
      <c r="A3131" s="21" t="s">
        <v>1805</v>
      </c>
      <c r="B3131" s="18" t="str">
        <f ca="1">IFERROR(__xludf.DUMMYFUNCTION("GOOGLETRANSLATE(C6335,""en"",""hr"")"),"imbus vijak")</f>
        <v>imbus vijak</v>
      </c>
    </row>
    <row r="3132" spans="1:2" x14ac:dyDescent="0.2">
      <c r="A3132" s="21" t="s">
        <v>1640</v>
      </c>
      <c r="B3132" s="18" t="str">
        <f ca="1">IFERROR(__xludf.DUMMYFUNCTION("GOOGLETRANSLATE(C5537,""en"",""hr"")"),"imbus vijak")</f>
        <v>imbus vijak</v>
      </c>
    </row>
    <row r="3133" spans="1:2" x14ac:dyDescent="0.2">
      <c r="A3133" s="21" t="s">
        <v>1097</v>
      </c>
      <c r="B3133" s="18" t="str">
        <f ca="1">IFERROR(__xludf.DUMMYFUNCTION("GOOGLETRANSLATE(C3553,""en"",""hr"")"),"imbus vijak")</f>
        <v>imbus vijak</v>
      </c>
    </row>
    <row r="3134" spans="1:2" x14ac:dyDescent="0.2">
      <c r="A3134" s="21" t="s">
        <v>1313</v>
      </c>
      <c r="B3134" s="18" t="str">
        <f ca="1">IFERROR(__xludf.DUMMYFUNCTION("GOOGLETRANSLATE(C4149,""en"",""hr"")"),"imbus vijak")</f>
        <v>imbus vijak</v>
      </c>
    </row>
    <row r="3135" spans="1:2" x14ac:dyDescent="0.2">
      <c r="A3135" s="21" t="s">
        <v>1188</v>
      </c>
      <c r="B3135" s="18" t="str">
        <f ca="1">IFERROR(__xludf.DUMMYFUNCTION("GOOGLETRANSLATE(C3802,""en"",""hr"")"),"imbus vijak")</f>
        <v>imbus vijak</v>
      </c>
    </row>
    <row r="3136" spans="1:2" x14ac:dyDescent="0.2">
      <c r="A3136" s="21" t="s">
        <v>249</v>
      </c>
      <c r="B3136" s="18" t="str">
        <f ca="1">IFERROR(__xludf.DUMMYFUNCTION("GOOGLETRANSLATE(C526,""en"",""hr"")"),"imbus vijak")</f>
        <v>imbus vijak</v>
      </c>
    </row>
    <row r="3137" spans="1:2" x14ac:dyDescent="0.2">
      <c r="A3137" s="21" t="s">
        <v>1037</v>
      </c>
      <c r="B3137" s="18" t="str">
        <f ca="1">IFERROR(__xludf.DUMMYFUNCTION("GOOGLETRANSLATE(C3382,""en"",""hr"")"),"imbus vijak")</f>
        <v>imbus vijak</v>
      </c>
    </row>
    <row r="3138" spans="1:2" x14ac:dyDescent="0.2">
      <c r="A3138" s="21" t="s">
        <v>1492</v>
      </c>
      <c r="B3138" s="18" t="str">
        <f ca="1">IFERROR(__xludf.DUMMYFUNCTION("GOOGLETRANSLATE(C5003,""en"",""hr"")"),"imbus vijak")</f>
        <v>imbus vijak</v>
      </c>
    </row>
    <row r="3139" spans="1:2" x14ac:dyDescent="0.2">
      <c r="A3139" s="21" t="s">
        <v>1678</v>
      </c>
      <c r="B3139" s="18" t="str">
        <f ca="1">IFERROR(__xludf.DUMMYFUNCTION("GOOGLETRANSLATE(C5796,""en"",""hr"")"),"imbus vijak")</f>
        <v>imbus vijak</v>
      </c>
    </row>
    <row r="3140" spans="1:2" x14ac:dyDescent="0.2">
      <c r="A3140" s="21" t="s">
        <v>383</v>
      </c>
      <c r="B3140" s="18" t="str">
        <f ca="1">IFERROR(__xludf.DUMMYFUNCTION("GOOGLETRANSLATE(C885,""en"",""hr"")"),"imbus vijak")</f>
        <v>imbus vijak</v>
      </c>
    </row>
    <row r="3141" spans="1:2" x14ac:dyDescent="0.2">
      <c r="A3141" s="21" t="s">
        <v>354</v>
      </c>
      <c r="B3141" s="18" t="str">
        <f ca="1">IFERROR(__xludf.DUMMYFUNCTION("GOOGLETRANSLATE(C811,""en"",""hr"")"),"imbus vijak")</f>
        <v>imbus vijak</v>
      </c>
    </row>
    <row r="3142" spans="1:2" x14ac:dyDescent="0.2">
      <c r="A3142" s="21" t="s">
        <v>1238</v>
      </c>
      <c r="B3142" s="18" t="str">
        <f ca="1">IFERROR(__xludf.DUMMYFUNCTION("GOOGLETRANSLATE(C3930,""en"",""hr"")"),"imbus vijak")</f>
        <v>imbus vijak</v>
      </c>
    </row>
    <row r="3143" spans="1:2" x14ac:dyDescent="0.2">
      <c r="A3143" s="21" t="s">
        <v>386</v>
      </c>
      <c r="B3143" s="18" t="str">
        <f ca="1">IFERROR(__xludf.DUMMYFUNCTION("GOOGLETRANSLATE(C898,""en"",""hr"")"),"imbus vijak")</f>
        <v>imbus vijak</v>
      </c>
    </row>
    <row r="3144" spans="1:2" x14ac:dyDescent="0.2">
      <c r="A3144" s="21" t="s">
        <v>1304</v>
      </c>
      <c r="B3144" s="18" t="str">
        <f ca="1">IFERROR(__xludf.DUMMYFUNCTION("GOOGLETRANSLATE(C4119,""en"",""hr"")"),"imbus vijak")</f>
        <v>imbus vijak</v>
      </c>
    </row>
    <row r="3145" spans="1:2" x14ac:dyDescent="0.2">
      <c r="A3145" s="21" t="s">
        <v>401</v>
      </c>
      <c r="B3145" s="18" t="str">
        <f ca="1">IFERROR(__xludf.DUMMYFUNCTION("GOOGLETRANSLATE(C943,""en"",""hr"")"),"imbus vijak")</f>
        <v>imbus vijak</v>
      </c>
    </row>
    <row r="3146" spans="1:2" x14ac:dyDescent="0.2">
      <c r="A3146" s="21" t="s">
        <v>1433</v>
      </c>
      <c r="B3146" s="18" t="str">
        <f ca="1">IFERROR(__xludf.DUMMYFUNCTION("GOOGLETRANSLATE(C4656,""en"",""hr"")"),"imbus vijak")</f>
        <v>imbus vijak</v>
      </c>
    </row>
    <row r="3147" spans="1:2" x14ac:dyDescent="0.2">
      <c r="A3147" s="21" t="s">
        <v>355</v>
      </c>
      <c r="B3147" s="18" t="str">
        <f ca="1">IFERROR(__xludf.DUMMYFUNCTION("GOOGLETRANSLATE(C812,""en"",""hr"")"),"imbus vijak")</f>
        <v>imbus vijak</v>
      </c>
    </row>
    <row r="3148" spans="1:2" x14ac:dyDescent="0.2">
      <c r="A3148" s="21" t="s">
        <v>1454</v>
      </c>
      <c r="B3148" s="18" t="str">
        <f ca="1">IFERROR(__xludf.DUMMYFUNCTION("GOOGLETRANSLATE(C4765,""en"",""hr"")"),"imbus vijak")</f>
        <v>imbus vijak</v>
      </c>
    </row>
    <row r="3149" spans="1:2" x14ac:dyDescent="0.2">
      <c r="A3149" s="21" t="s">
        <v>1275</v>
      </c>
      <c r="B3149" s="18" t="str">
        <f ca="1">IFERROR(__xludf.DUMMYFUNCTION("GOOGLETRANSLATE(C4008,""en"",""hr"")"),"imbus vijak")</f>
        <v>imbus vijak</v>
      </c>
    </row>
    <row r="3150" spans="1:2" x14ac:dyDescent="0.2">
      <c r="A3150" s="21" t="s">
        <v>170</v>
      </c>
      <c r="B3150" s="18" t="str">
        <f ca="1">IFERROR(__xludf.DUMMYFUNCTION("GOOGLETRANSLATE(C327,""en"",""hr"")"),"imbus vijak")</f>
        <v>imbus vijak</v>
      </c>
    </row>
    <row r="3151" spans="1:2" x14ac:dyDescent="0.2">
      <c r="A3151" s="21" t="s">
        <v>1576</v>
      </c>
      <c r="B3151" s="18" t="str">
        <f ca="1">IFERROR(__xludf.DUMMYFUNCTION("GOOGLETRANSLATE(C5344,""en"",""hr"")"),"imbus vijak")</f>
        <v>imbus vijak</v>
      </c>
    </row>
    <row r="3152" spans="1:2" x14ac:dyDescent="0.2">
      <c r="A3152" s="21" t="s">
        <v>243</v>
      </c>
      <c r="B3152" s="18" t="str">
        <f ca="1">IFERROR(__xludf.DUMMYFUNCTION("GOOGLETRANSLATE(C508,""en"",""hr"")"),"imbus vijak")</f>
        <v>imbus vijak</v>
      </c>
    </row>
    <row r="3153" spans="1:2" x14ac:dyDescent="0.2">
      <c r="A3153" s="21" t="s">
        <v>532</v>
      </c>
      <c r="B3153" s="18" t="str">
        <f ca="1">IFERROR(__xludf.DUMMYFUNCTION("GOOGLETRANSLATE(C1389,""en"",""hr"")"),"imbus vijak")</f>
        <v>imbus vijak</v>
      </c>
    </row>
    <row r="3154" spans="1:2" x14ac:dyDescent="0.2">
      <c r="A3154" s="21" t="s">
        <v>1128</v>
      </c>
      <c r="B3154" s="18" t="str">
        <f ca="1">IFERROR(__xludf.DUMMYFUNCTION("GOOGLETRANSLATE(C3672,""en"",""hr"")"),"Vijak s poklopcem")</f>
        <v>Vijak s poklopcem</v>
      </c>
    </row>
    <row r="3155" spans="1:2" x14ac:dyDescent="0.2">
      <c r="A3155" s="21" t="s">
        <v>487</v>
      </c>
      <c r="B3155" s="18" t="str">
        <f ca="1">IFERROR(__xludf.DUMMYFUNCTION("GOOGLETRANSLATE(C1181,""en"",""hr"")"),"imbus vijak")</f>
        <v>imbus vijak</v>
      </c>
    </row>
    <row r="3156" spans="1:2" x14ac:dyDescent="0.2">
      <c r="A3156" s="21" t="s">
        <v>1269</v>
      </c>
      <c r="B3156" s="18" t="str">
        <f ca="1">IFERROR(__xludf.DUMMYFUNCTION("GOOGLETRANSLATE(C4002,""en"",""hr"")"),"imbus vijak")</f>
        <v>imbus vijak</v>
      </c>
    </row>
    <row r="3157" spans="1:2" x14ac:dyDescent="0.2">
      <c r="A3157" s="21" t="s">
        <v>1176</v>
      </c>
      <c r="B3157" s="18" t="str">
        <f ca="1">IFERROR(__xludf.DUMMYFUNCTION("GOOGLETRANSLATE(C3787,""en"",""hr"")"),"imbus vijak")</f>
        <v>imbus vijak</v>
      </c>
    </row>
    <row r="3158" spans="1:2" x14ac:dyDescent="0.2">
      <c r="A3158" s="21" t="s">
        <v>1290</v>
      </c>
      <c r="B3158" s="18" t="str">
        <f ca="1">IFERROR(__xludf.DUMMYFUNCTION("GOOGLETRANSLATE(C4024,""en"",""hr"")"),"imbus vijak")</f>
        <v>imbus vijak</v>
      </c>
    </row>
    <row r="3159" spans="1:2" x14ac:dyDescent="0.2">
      <c r="A3159" s="21" t="s">
        <v>330</v>
      </c>
      <c r="B3159" s="18" t="str">
        <f ca="1">IFERROR(__xludf.DUMMYFUNCTION("GOOGLETRANSLATE(C746,""en"",""hr"")"),"imbus vijak")</f>
        <v>imbus vijak</v>
      </c>
    </row>
    <row r="3160" spans="1:2" x14ac:dyDescent="0.2">
      <c r="A3160" s="21" t="s">
        <v>1691</v>
      </c>
      <c r="B3160" s="18" t="str">
        <f ca="1">IFERROR(__xludf.DUMMYFUNCTION("GOOGLETRANSLATE(C5869,""en"",""hr"")"),"imbus vijak")</f>
        <v>imbus vijak</v>
      </c>
    </row>
    <row r="3161" spans="1:2" x14ac:dyDescent="0.2">
      <c r="A3161" s="21" t="s">
        <v>273</v>
      </c>
      <c r="B3161" s="18" t="str">
        <f ca="1">IFERROR(__xludf.DUMMYFUNCTION("GOOGLETRANSLATE(C604,""en"",""hr"")"),"Vijak")</f>
        <v>Vijak</v>
      </c>
    </row>
    <row r="3162" spans="1:2" x14ac:dyDescent="0.2">
      <c r="A3162" s="21" t="s">
        <v>403</v>
      </c>
      <c r="B3162" s="18" t="str">
        <f ca="1">IFERROR(__xludf.DUMMYFUNCTION("GOOGLETRANSLATE(C947,""en"",""hr"")"),"imbus vijak")</f>
        <v>imbus vijak</v>
      </c>
    </row>
    <row r="3163" spans="1:2" x14ac:dyDescent="0.2">
      <c r="A3163" s="21" t="s">
        <v>1827</v>
      </c>
      <c r="B3163" s="18" t="str">
        <f ca="1">IFERROR(__xludf.DUMMYFUNCTION("GOOGLETRANSLATE(C6382,""en"",""hr"")"),"imbus vijak")</f>
        <v>imbus vijak</v>
      </c>
    </row>
    <row r="3164" spans="1:2" x14ac:dyDescent="0.2">
      <c r="A3164" s="21" t="s">
        <v>1828</v>
      </c>
      <c r="B3164" s="18" t="str">
        <f ca="1">IFERROR(__xludf.DUMMYFUNCTION("GOOGLETRANSLATE(C6383,""en"",""hr"")"),"imbus vijak")</f>
        <v>imbus vijak</v>
      </c>
    </row>
    <row r="3165" spans="1:2" x14ac:dyDescent="0.2">
      <c r="A3165" s="21" t="s">
        <v>1824</v>
      </c>
      <c r="B3165" s="18" t="str">
        <f ca="1">IFERROR(__xludf.DUMMYFUNCTION("GOOGLETRANSLATE(C6366,""en"",""hr"")"),"imbus vijak")</f>
        <v>imbus vijak</v>
      </c>
    </row>
    <row r="3166" spans="1:2" x14ac:dyDescent="0.2">
      <c r="A3166" s="21" t="s">
        <v>1826</v>
      </c>
      <c r="B3166" s="18" t="str">
        <f ca="1">IFERROR(__xludf.DUMMYFUNCTION("GOOGLETRANSLATE(C6373,""en"",""hr"")"),"imbus vijak")</f>
        <v>imbus vijak</v>
      </c>
    </row>
    <row r="3167" spans="1:2" x14ac:dyDescent="0.2">
      <c r="A3167" s="21" t="s">
        <v>1131</v>
      </c>
      <c r="B3167" s="18" t="str">
        <f ca="1">IFERROR(__xludf.DUMMYFUNCTION("GOOGLETRANSLATE(C3677,""en"",""hr"")"),"Vijak s poklopcem")</f>
        <v>Vijak s poklopcem</v>
      </c>
    </row>
    <row r="3168" spans="1:2" x14ac:dyDescent="0.2">
      <c r="A3168" s="21" t="s">
        <v>1133</v>
      </c>
      <c r="B3168" s="18" t="str">
        <f ca="1">IFERROR(__xludf.DUMMYFUNCTION("GOOGLETRANSLATE(C3689,""en"",""hr"")"),"imbus vijak")</f>
        <v>imbus vijak</v>
      </c>
    </row>
    <row r="3169" spans="1:2" x14ac:dyDescent="0.2">
      <c r="A3169" s="21" t="s">
        <v>1130</v>
      </c>
      <c r="B3169" s="18" t="str">
        <f ca="1">IFERROR(__xludf.DUMMYFUNCTION("GOOGLETRANSLATE(C3675,""en"",""hr"")"),"imbus vijak")</f>
        <v>imbus vijak</v>
      </c>
    </row>
    <row r="3170" spans="1:2" x14ac:dyDescent="0.2">
      <c r="A3170" s="21" t="s">
        <v>1008</v>
      </c>
      <c r="B3170" s="18" t="str">
        <f ca="1">IFERROR(__xludf.DUMMYFUNCTION("GOOGLETRANSLATE(C3213,""en"",""hr"")"),"imbus vijak")</f>
        <v>imbus vijak</v>
      </c>
    </row>
    <row r="3171" spans="1:2" x14ac:dyDescent="0.2">
      <c r="A3171" s="21" t="s">
        <v>518</v>
      </c>
      <c r="B3171" s="18" t="str">
        <f ca="1">IFERROR(__xludf.DUMMYFUNCTION("GOOGLETRANSLATE(C1340,""en"",""hr"")"),"imbus vijak")</f>
        <v>imbus vijak</v>
      </c>
    </row>
    <row r="3172" spans="1:2" x14ac:dyDescent="0.2">
      <c r="A3172" s="21" t="s">
        <v>1395</v>
      </c>
      <c r="B3172" s="18" t="str">
        <f ca="1">IFERROR(__xludf.DUMMYFUNCTION("GOOGLETRANSLATE(C4476,""en"",""hr"")"),"imbus vijak")</f>
        <v>imbus vijak</v>
      </c>
    </row>
    <row r="3173" spans="1:2" x14ac:dyDescent="0.2">
      <c r="A3173" s="21" t="s">
        <v>1366</v>
      </c>
      <c r="B3173" s="18" t="str">
        <f ca="1">IFERROR(__xludf.DUMMYFUNCTION("GOOGLETRANSLATE(C4327,""en"",""hr"")"),"imbus vijak")</f>
        <v>imbus vijak</v>
      </c>
    </row>
    <row r="3174" spans="1:2" x14ac:dyDescent="0.2">
      <c r="A3174" s="21" t="s">
        <v>1673</v>
      </c>
      <c r="B3174" s="18" t="str">
        <f ca="1">IFERROR(__xludf.DUMMYFUNCTION("GOOGLETRANSLATE(C5783,""en"",""hr"")"),"imbus vijak")</f>
        <v>imbus vijak</v>
      </c>
    </row>
    <row r="3175" spans="1:2" x14ac:dyDescent="0.2">
      <c r="A3175" s="21" t="s">
        <v>1679</v>
      </c>
      <c r="B3175" s="18" t="str">
        <f ca="1">IFERROR(__xludf.DUMMYFUNCTION("GOOGLETRANSLATE(C5802,""en"",""hr"")"),"imbus vijak")</f>
        <v>imbus vijak</v>
      </c>
    </row>
    <row r="3176" spans="1:2" x14ac:dyDescent="0.2">
      <c r="A3176" s="21" t="s">
        <v>290</v>
      </c>
      <c r="B3176" s="18" t="str">
        <f ca="1">IFERROR(__xludf.DUMMYFUNCTION("GOOGLETRANSLATE(C640,""en"",""hr"")"),"Vijak s poklopcem")</f>
        <v>Vijak s poklopcem</v>
      </c>
    </row>
    <row r="3177" spans="1:2" x14ac:dyDescent="0.2">
      <c r="A3177" s="21" t="s">
        <v>294</v>
      </c>
      <c r="B3177" s="18" t="str">
        <f ca="1">IFERROR(__xludf.DUMMYFUNCTION("GOOGLETRANSLATE(C650,""en"",""hr"")"),"imbus vijak")</f>
        <v>imbus vijak</v>
      </c>
    </row>
    <row r="3178" spans="1:2" x14ac:dyDescent="0.2">
      <c r="A3178" s="21" t="s">
        <v>282</v>
      </c>
      <c r="B3178" s="18" t="str">
        <f ca="1">IFERROR(__xludf.DUMMYFUNCTION("GOOGLETRANSLATE(C627,""en"",""hr"")"),"Vijak s poklopcem")</f>
        <v>Vijak s poklopcem</v>
      </c>
    </row>
    <row r="3179" spans="1:2" x14ac:dyDescent="0.2">
      <c r="A3179" s="21" t="s">
        <v>1589</v>
      </c>
      <c r="B3179" s="18" t="str">
        <f ca="1">IFERROR(__xludf.DUMMYFUNCTION("GOOGLETRANSLATE(C5400,""en"",""hr"")"),"imbus vijak")</f>
        <v>imbus vijak</v>
      </c>
    </row>
    <row r="3180" spans="1:2" x14ac:dyDescent="0.2">
      <c r="A3180" s="21" t="s">
        <v>1396</v>
      </c>
      <c r="B3180" s="18" t="str">
        <f ca="1">IFERROR(__xludf.DUMMYFUNCTION("GOOGLETRANSLATE(C4480,""en"",""hr"")"),"Vijak s poklopcem")</f>
        <v>Vijak s poklopcem</v>
      </c>
    </row>
    <row r="3181" spans="1:2" x14ac:dyDescent="0.2">
      <c r="A3181" s="21" t="s">
        <v>402</v>
      </c>
      <c r="B3181" s="18" t="str">
        <f ca="1">IFERROR(__xludf.DUMMYFUNCTION("GOOGLETRANSLATE(C946,""en"",""hr"")"),"Vijak s poklopcem")</f>
        <v>Vijak s poklopcem</v>
      </c>
    </row>
    <row r="3182" spans="1:2" x14ac:dyDescent="0.2">
      <c r="A3182" s="21" t="s">
        <v>1398</v>
      </c>
      <c r="B3182" s="18" t="str">
        <f ca="1">IFERROR(__xludf.DUMMYFUNCTION("GOOGLETRANSLATE(C4497,""en"",""hr"")"),"Upušteni vijak")</f>
        <v>Upušteni vijak</v>
      </c>
    </row>
    <row r="3183" spans="1:2" x14ac:dyDescent="0.2">
      <c r="A3183" s="21" t="s">
        <v>1540</v>
      </c>
      <c r="B3183" s="18" t="str">
        <f ca="1">IFERROR(__xludf.DUMMYFUNCTION("GOOGLETRANSLATE(C5237,""en"",""hr"")"),"Upušteni vijak")</f>
        <v>Upušteni vijak</v>
      </c>
    </row>
    <row r="3184" spans="1:2" x14ac:dyDescent="0.2">
      <c r="A3184" s="21" t="s">
        <v>1010</v>
      </c>
      <c r="B3184" s="18" t="str">
        <f ca="1">IFERROR(__xludf.DUMMYFUNCTION("GOOGLETRANSLATE(C3261,""en"",""hr"")"),"Upušteni vijak")</f>
        <v>Upušteni vijak</v>
      </c>
    </row>
    <row r="3185" spans="1:2" x14ac:dyDescent="0.2">
      <c r="A3185" s="21" t="s">
        <v>1110</v>
      </c>
      <c r="B3185" s="18" t="str">
        <f ca="1">IFERROR(__xludf.DUMMYFUNCTION("GOOGLETRANSLATE(C3587,""en"",""hr"")"),"Upušteni vijak")</f>
        <v>Upušteni vijak</v>
      </c>
    </row>
    <row r="3186" spans="1:2" x14ac:dyDescent="0.2">
      <c r="A3186" s="21" t="s">
        <v>1495</v>
      </c>
      <c r="B3186" s="18" t="str">
        <f ca="1">IFERROR(__xludf.DUMMYFUNCTION("GOOGLETRANSLATE(C5032,""en"",""hr"")"),"Upušteni vijak")</f>
        <v>Upušteni vijak</v>
      </c>
    </row>
    <row r="3187" spans="1:2" x14ac:dyDescent="0.2">
      <c r="A3187" s="21" t="s">
        <v>1059</v>
      </c>
      <c r="B3187" s="18" t="str">
        <f ca="1">IFERROR(__xludf.DUMMYFUNCTION("GOOGLETRANSLATE(C3452,""en"",""hr"")"),"Upušteni vijak")</f>
        <v>Upušteni vijak</v>
      </c>
    </row>
    <row r="3188" spans="1:2" x14ac:dyDescent="0.2">
      <c r="A3188" s="21" t="s">
        <v>2021</v>
      </c>
      <c r="B3188" s="18" t="str">
        <f ca="1">IFERROR(__xludf.DUMMYFUNCTION("GOOGLETRANSLATE(C6837,""en"",""hr"")"),"Upušteni vijak")</f>
        <v>Upušteni vijak</v>
      </c>
    </row>
    <row r="3189" spans="1:2" x14ac:dyDescent="0.2">
      <c r="A3189" s="21" t="s">
        <v>595</v>
      </c>
      <c r="B3189" s="18" t="str">
        <f ca="1">IFERROR(__xludf.DUMMYFUNCTION("GOOGLETRANSLATE(C1728,""en"",""hr"")"),"Upušteni vijak")</f>
        <v>Upušteni vijak</v>
      </c>
    </row>
    <row r="3190" spans="1:2" x14ac:dyDescent="0.2">
      <c r="A3190" s="21" t="s">
        <v>285</v>
      </c>
      <c r="B3190" s="18" t="str">
        <f ca="1">IFERROR(__xludf.DUMMYFUNCTION("GOOGLETRANSLATE(C630,""en"",""hr"")"),"Upušteni vijak")</f>
        <v>Upušteni vijak</v>
      </c>
    </row>
    <row r="3191" spans="1:2" x14ac:dyDescent="0.2">
      <c r="A3191" s="21" t="s">
        <v>192</v>
      </c>
      <c r="B3191" s="18" t="str">
        <f ca="1">IFERROR(__xludf.DUMMYFUNCTION("GOOGLETRANSLATE(C408,""en"",""hr"")"),"Upušteni vijak")</f>
        <v>Upušteni vijak</v>
      </c>
    </row>
    <row r="3192" spans="1:2" x14ac:dyDescent="0.2">
      <c r="A3192" s="21" t="s">
        <v>181</v>
      </c>
      <c r="B3192" s="18" t="str">
        <f ca="1">IFERROR(__xludf.DUMMYFUNCTION("GOOGLETRANSLATE(C365,""en"",""hr"")"),"Upušteni vijak")</f>
        <v>Upušteni vijak</v>
      </c>
    </row>
    <row r="3193" spans="1:2" x14ac:dyDescent="0.2">
      <c r="A3193" s="21" t="s">
        <v>155</v>
      </c>
      <c r="B3193" s="18" t="str">
        <f ca="1">IFERROR(__xludf.DUMMYFUNCTION("GOOGLETRANSLATE(C300,""en"",""hr"")"),"Upušteni vijak")</f>
        <v>Upušteni vijak</v>
      </c>
    </row>
    <row r="3194" spans="1:2" x14ac:dyDescent="0.2">
      <c r="A3194" s="21" t="s">
        <v>1507</v>
      </c>
      <c r="B3194" s="18" t="str">
        <f ca="1">IFERROR(__xludf.DUMMYFUNCTION("GOOGLETRANSLATE(C5065,""en"",""hr"")"),"Upušteni vijak")</f>
        <v>Upušteni vijak</v>
      </c>
    </row>
    <row r="3195" spans="1:2" x14ac:dyDescent="0.2">
      <c r="A3195" s="21" t="s">
        <v>1511</v>
      </c>
      <c r="B3195" s="18" t="str">
        <f ca="1">IFERROR(__xludf.DUMMYFUNCTION("GOOGLETRANSLATE(C5117,""en"",""hr"")"),"Upušteni vijak")</f>
        <v>Upušteni vijak</v>
      </c>
    </row>
    <row r="3196" spans="1:2" x14ac:dyDescent="0.2">
      <c r="A3196" s="21" t="s">
        <v>1660</v>
      </c>
      <c r="B3196" s="18" t="str">
        <f ca="1">IFERROR(__xludf.DUMMYFUNCTION("GOOGLETRANSLATE(C5650,""en"",""hr"")"),"Upušteni vijak")</f>
        <v>Upušteni vijak</v>
      </c>
    </row>
    <row r="3197" spans="1:2" x14ac:dyDescent="0.2">
      <c r="A3197" s="21" t="s">
        <v>1601</v>
      </c>
      <c r="B3197" s="18" t="str">
        <f ca="1">IFERROR(__xludf.DUMMYFUNCTION("GOOGLETRANSLATE(C5428,""en"",""hr"")"),"Upušteni vijak")</f>
        <v>Upušteni vijak</v>
      </c>
    </row>
    <row r="3198" spans="1:2" x14ac:dyDescent="0.2">
      <c r="A3198" s="21" t="s">
        <v>287</v>
      </c>
      <c r="B3198" s="18" t="str">
        <f ca="1">IFERROR(__xludf.DUMMYFUNCTION("GOOGLETRANSLATE(C633,""en"",""hr"")"),"Upušteni vijak")</f>
        <v>Upušteni vijak</v>
      </c>
    </row>
    <row r="3199" spans="1:2" x14ac:dyDescent="0.2">
      <c r="A3199" s="21" t="s">
        <v>1496</v>
      </c>
      <c r="B3199" s="18" t="str">
        <f ca="1">IFERROR(__xludf.DUMMYFUNCTION("GOOGLETRANSLATE(C5033,""en"",""hr"")"),"Upušteni vijak")</f>
        <v>Upušteni vijak</v>
      </c>
    </row>
    <row r="3200" spans="1:2" x14ac:dyDescent="0.2">
      <c r="A3200" s="21" t="s">
        <v>911</v>
      </c>
      <c r="B3200" s="18" t="str">
        <f ca="1">IFERROR(__xludf.DUMMYFUNCTION("GOOGLETRANSLATE(C2727,""en"",""hr"")"),"Upušteni vijak")</f>
        <v>Upušteni vijak</v>
      </c>
    </row>
    <row r="3201" spans="1:2" x14ac:dyDescent="0.2">
      <c r="A3201" s="21" t="s">
        <v>451</v>
      </c>
      <c r="B3201" s="18" t="str">
        <f ca="1">IFERROR(__xludf.DUMMYFUNCTION("GOOGLETRANSLATE(C1087,""en"",""hr"")"),"Upušteni vijak")</f>
        <v>Upušteni vijak</v>
      </c>
    </row>
    <row r="3202" spans="1:2" x14ac:dyDescent="0.2">
      <c r="A3202" s="21" t="s">
        <v>1627</v>
      </c>
      <c r="B3202" s="18" t="str">
        <f ca="1">IFERROR(__xludf.DUMMYFUNCTION("GOOGLETRANSLATE(C5480,""en"",""hr"")"),"Upušteni vijak")</f>
        <v>Upušteni vijak</v>
      </c>
    </row>
    <row r="3203" spans="1:2" x14ac:dyDescent="0.2">
      <c r="A3203" s="21" t="s">
        <v>619</v>
      </c>
      <c r="B3203" s="18" t="str">
        <f ca="1">IFERROR(__xludf.DUMMYFUNCTION("GOOGLETRANSLATE(C1921,""en"",""hr"")"),"Vijak s ravnom glavom")</f>
        <v>Vijak s ravnom glavom</v>
      </c>
    </row>
    <row r="3204" spans="1:2" x14ac:dyDescent="0.2">
      <c r="A3204" s="21" t="s">
        <v>1468</v>
      </c>
      <c r="B3204" s="18" t="str">
        <f ca="1">IFERROR(__xludf.DUMMYFUNCTION("GOOGLETRANSLATE(C4902,""en"",""hr"")"),"Vijak s ravnom glavom")</f>
        <v>Vijak s ravnom glavom</v>
      </c>
    </row>
    <row r="3205" spans="1:2" x14ac:dyDescent="0.2">
      <c r="A3205" s="21" t="s">
        <v>1469</v>
      </c>
      <c r="B3205" s="18" t="str">
        <f ca="1">IFERROR(__xludf.DUMMYFUNCTION("GOOGLETRANSLATE(C4903,""en"",""hr"")"),"Vijak s ravnom glavom")</f>
        <v>Vijak s ravnom glavom</v>
      </c>
    </row>
    <row r="3206" spans="1:2" x14ac:dyDescent="0.2">
      <c r="A3206" s="21" t="s">
        <v>1489</v>
      </c>
      <c r="B3206" s="18" t="str">
        <f ca="1">IFERROR(__xludf.DUMMYFUNCTION("GOOGLETRANSLATE(C4986,""en"",""hr"")"),"Vijak s ravnom glavom")</f>
        <v>Vijak s ravnom glavom</v>
      </c>
    </row>
    <row r="3207" spans="1:2" x14ac:dyDescent="0.2">
      <c r="A3207" s="21" t="s">
        <v>1417</v>
      </c>
      <c r="B3207" s="18" t="str">
        <f ca="1">IFERROR(__xludf.DUMMYFUNCTION("GOOGLETRANSLATE(C4600,""en"",""hr"")"),"Vijak s ravnom glavom")</f>
        <v>Vijak s ravnom glavom</v>
      </c>
    </row>
    <row r="3208" spans="1:2" x14ac:dyDescent="0.2">
      <c r="A3208" s="21" t="s">
        <v>423</v>
      </c>
      <c r="B3208" s="18" t="str">
        <f ca="1">IFERROR(__xludf.DUMMYFUNCTION("GOOGLETRANSLATE(C1000,""en"",""hr"")"),"Vijak s ravnom glavom")</f>
        <v>Vijak s ravnom glavom</v>
      </c>
    </row>
    <row r="3209" spans="1:2" x14ac:dyDescent="0.2">
      <c r="A3209" s="21" t="s">
        <v>426</v>
      </c>
      <c r="B3209" s="18" t="str">
        <f ca="1">IFERROR(__xludf.DUMMYFUNCTION("GOOGLETRANSLATE(C1011,""en"",""hr"")"),"Vijak s ravnom glavom")</f>
        <v>Vijak s ravnom glavom</v>
      </c>
    </row>
    <row r="3210" spans="1:2" x14ac:dyDescent="0.2">
      <c r="A3210" s="21" t="s">
        <v>424</v>
      </c>
      <c r="B3210" s="18" t="str">
        <f ca="1">IFERROR(__xludf.DUMMYFUNCTION("GOOGLETRANSLATE(C1001,""en"",""hr"")"),"Vijak s ravnom glavom")</f>
        <v>Vijak s ravnom glavom</v>
      </c>
    </row>
    <row r="3211" spans="1:2" x14ac:dyDescent="0.2">
      <c r="A3211" s="21" t="s">
        <v>422</v>
      </c>
      <c r="B3211" s="18" t="str">
        <f ca="1">IFERROR(__xludf.DUMMYFUNCTION("GOOGLETRANSLATE(C997,""en"",""hr"")"),"Vijak s ravnom glavom")</f>
        <v>Vijak s ravnom glavom</v>
      </c>
    </row>
    <row r="3212" spans="1:2" x14ac:dyDescent="0.2">
      <c r="A3212" s="21" t="s">
        <v>165</v>
      </c>
      <c r="B3212" s="18" t="str">
        <f ca="1">IFERROR(__xludf.DUMMYFUNCTION("GOOGLETRANSLATE(C320,""en"",""hr"")"),"Vijak s podignutom sirnom glavom")</f>
        <v>Vijak s podignutom sirnom glavom</v>
      </c>
    </row>
    <row r="3213" spans="1:2" x14ac:dyDescent="0.2">
      <c r="A3213" s="21" t="s">
        <v>431</v>
      </c>
      <c r="B3213" s="18" t="str">
        <f ca="1">IFERROR(__xludf.DUMMYFUNCTION("GOOGLETRANSLATE(C1025,""en"",""hr"")"),"imbus vijak")</f>
        <v>imbus vijak</v>
      </c>
    </row>
    <row r="3214" spans="1:2" x14ac:dyDescent="0.2">
      <c r="A3214" s="21" t="s">
        <v>160</v>
      </c>
      <c r="B3214" s="18" t="str">
        <f ca="1">IFERROR(__xludf.DUMMYFUNCTION("GOOGLETRANSLATE(C309,""en"",""hr"")"),"imbus vijak")</f>
        <v>imbus vijak</v>
      </c>
    </row>
    <row r="3215" spans="1:2" x14ac:dyDescent="0.2">
      <c r="A3215" s="21" t="s">
        <v>491</v>
      </c>
      <c r="B3215" s="18" t="str">
        <f ca="1">IFERROR(__xludf.DUMMYFUNCTION("GOOGLETRANSLATE(C1194,""en"",""hr"")"),"Vijak s ovalnom glavom")</f>
        <v>Vijak s ovalnom glavom</v>
      </c>
    </row>
    <row r="3216" spans="1:2" x14ac:dyDescent="0.2">
      <c r="A3216" s="21" t="s">
        <v>1150</v>
      </c>
      <c r="B3216" s="18" t="str">
        <f ca="1">IFERROR(__xludf.DUMMYFUNCTION("GOOGLETRANSLATE(C3731,""en"",""hr"")"),"Vijak s podignutom sirnom glavom")</f>
        <v>Vijak s podignutom sirnom glavom</v>
      </c>
    </row>
    <row r="3217" spans="1:2" x14ac:dyDescent="0.2">
      <c r="A3217" s="21" t="s">
        <v>508</v>
      </c>
      <c r="B3217" s="18" t="str">
        <f ca="1">IFERROR(__xludf.DUMMYFUNCTION("GOOGLETRANSLATE(C1282,""en"",""hr"")"),"Vijak s podignutom sirnom glavom")</f>
        <v>Vijak s podignutom sirnom glavom</v>
      </c>
    </row>
    <row r="3218" spans="1:2" x14ac:dyDescent="0.2">
      <c r="A3218" s="21" t="s">
        <v>163</v>
      </c>
      <c r="B3218" s="18" t="str">
        <f ca="1">IFERROR(__xludf.DUMMYFUNCTION("GOOGLETRANSLATE(C317,""en"",""hr"")"),"Vijak s podignutom sirnom glavom")</f>
        <v>Vijak s podignutom sirnom glavom</v>
      </c>
    </row>
    <row r="3219" spans="1:2" x14ac:dyDescent="0.2">
      <c r="A3219" s="21" t="s">
        <v>434</v>
      </c>
      <c r="B3219" s="18" t="str">
        <f ca="1">IFERROR(__xludf.DUMMYFUNCTION("GOOGLETRANSLATE(C1047,""en"",""hr"")"),"Vijak s ravnom glavom")</f>
        <v>Vijak s ravnom glavom</v>
      </c>
    </row>
    <row r="3220" spans="1:2" x14ac:dyDescent="0.2">
      <c r="A3220" s="21" t="s">
        <v>1440</v>
      </c>
      <c r="B3220" s="18" t="str">
        <f ca="1">IFERROR(__xludf.DUMMYFUNCTION("GOOGLETRANSLATE(C4698,""en"",""hr"")"),"Vijak s podignutom sirnom glavom")</f>
        <v>Vijak s podignutom sirnom glavom</v>
      </c>
    </row>
    <row r="3221" spans="1:2" x14ac:dyDescent="0.2">
      <c r="A3221" s="21" t="s">
        <v>557</v>
      </c>
      <c r="B3221" s="18" t="str">
        <f ca="1">IFERROR(__xludf.DUMMYFUNCTION("GOOGLETRANSLATE(C1541,""en"",""hr"")"),"Vijak s ravnom glavom")</f>
        <v>Vijak s ravnom glavom</v>
      </c>
    </row>
    <row r="3222" spans="1:2" x14ac:dyDescent="0.2">
      <c r="A3222" s="21" t="s">
        <v>398</v>
      </c>
      <c r="B3222" s="18" t="str">
        <f ca="1">IFERROR(__xludf.DUMMYFUNCTION("GOOGLETRANSLATE(C939,""en"",""hr"")"),"Vijak")</f>
        <v>Vijak</v>
      </c>
    </row>
    <row r="3223" spans="1:2" x14ac:dyDescent="0.2">
      <c r="A3223" s="21" t="s">
        <v>178</v>
      </c>
      <c r="B3223" s="18" t="str">
        <f ca="1">IFERROR(__xludf.DUMMYFUNCTION("GOOGLETRANSLATE(C362,""en"",""hr"")"),"Vijak s ravnom glavom")</f>
        <v>Vijak s ravnom glavom</v>
      </c>
    </row>
    <row r="3224" spans="1:2" x14ac:dyDescent="0.2">
      <c r="A3224" s="21" t="s">
        <v>602</v>
      </c>
      <c r="B3224" s="18" t="str">
        <f ca="1">IFERROR(__xludf.DUMMYFUNCTION("GOOGLETRANSLATE(C1766,""en"",""hr"")"),"Vijak s ravnom glavom")</f>
        <v>Vijak s ravnom glavom</v>
      </c>
    </row>
    <row r="3225" spans="1:2" x14ac:dyDescent="0.2">
      <c r="A3225" s="21" t="s">
        <v>184</v>
      </c>
      <c r="B3225" s="18" t="str">
        <f ca="1">IFERROR(__xludf.DUMMYFUNCTION("GOOGLETRANSLATE(C374,""en"",""hr"")"),"Vijak s ravnom glavom")</f>
        <v>Vijak s ravnom glavom</v>
      </c>
    </row>
    <row r="3226" spans="1:2" x14ac:dyDescent="0.2">
      <c r="A3226" s="21" t="s">
        <v>1107</v>
      </c>
      <c r="B3226" s="18" t="str">
        <f ca="1">IFERROR(__xludf.DUMMYFUNCTION("GOOGLETRANSLATE(C3580,""en"",""hr"")"),"Vijak s ravnom glavom")</f>
        <v>Vijak s ravnom glavom</v>
      </c>
    </row>
    <row r="3227" spans="1:2" x14ac:dyDescent="0.2">
      <c r="A3227" s="21" t="s">
        <v>1108</v>
      </c>
      <c r="B3227" s="18" t="str">
        <f ca="1">IFERROR(__xludf.DUMMYFUNCTION("GOOGLETRANSLATE(C3581,""en"",""hr"")"),"Vijak s ravnom glavom")</f>
        <v>Vijak s ravnom glavom</v>
      </c>
    </row>
    <row r="3228" spans="1:2" x14ac:dyDescent="0.2">
      <c r="A3228" s="21" t="s">
        <v>1092</v>
      </c>
      <c r="B3228" s="18" t="str">
        <f ca="1">IFERROR(__xludf.DUMMYFUNCTION("GOOGLETRANSLATE(C3517,""en"",""hr"")"),"Vijak s ravnom glavom")</f>
        <v>Vijak s ravnom glavom</v>
      </c>
    </row>
    <row r="3229" spans="1:2" x14ac:dyDescent="0.2">
      <c r="A3229" s="21" t="s">
        <v>529</v>
      </c>
      <c r="B3229" s="18" t="str">
        <f ca="1">IFERROR(__xludf.DUMMYFUNCTION("GOOGLETRANSLATE(C1377,""en"",""hr"")"),"imbus vijak")</f>
        <v>imbus vijak</v>
      </c>
    </row>
    <row r="3230" spans="1:2" x14ac:dyDescent="0.2">
      <c r="A3230" s="21" t="s">
        <v>548</v>
      </c>
      <c r="B3230" s="18" t="str">
        <f ca="1">IFERROR(__xludf.DUMMYFUNCTION("GOOGLETRANSLATE(C1467,""en"",""hr"")"),"Vijak s ravnom glavom s prorezima")</f>
        <v>Vijak s ravnom glavom s prorezima</v>
      </c>
    </row>
    <row r="3231" spans="1:2" x14ac:dyDescent="0.2">
      <c r="A3231" s="21" t="s">
        <v>1441</v>
      </c>
      <c r="B3231" s="18" t="str">
        <f ca="1">IFERROR(__xludf.DUMMYFUNCTION("GOOGLETRANSLATE(C4701,""en"",""hr"")"),"Vijak s ravnom glavom s prorezima")</f>
        <v>Vijak s ravnom glavom s prorezima</v>
      </c>
    </row>
    <row r="3232" spans="1:2" x14ac:dyDescent="0.2">
      <c r="A3232" s="21" t="s">
        <v>1063</v>
      </c>
      <c r="B3232" s="18" t="str">
        <f ca="1">IFERROR(__xludf.DUMMYFUNCTION("GOOGLETRANSLATE(C3461,""en"",""hr"")"),"Vijak s podignutom sirnom glavom")</f>
        <v>Vijak s podignutom sirnom glavom</v>
      </c>
    </row>
    <row r="3233" spans="1:2" x14ac:dyDescent="0.2">
      <c r="A3233" s="21" t="s">
        <v>1488</v>
      </c>
      <c r="B3233" s="18" t="str">
        <f ca="1">IFERROR(__xludf.DUMMYFUNCTION("GOOGLETRANSLATE(C4981,""en"",""hr"")"),"Vijak")</f>
        <v>Vijak</v>
      </c>
    </row>
    <row r="3234" spans="1:2" x14ac:dyDescent="0.2">
      <c r="A3234" s="21" t="s">
        <v>1585</v>
      </c>
      <c r="B3234" s="18" t="str">
        <f ca="1">IFERROR(__xludf.DUMMYFUNCTION("GOOGLETRANSLATE(C5365,""en"",""hr"")"),"Vijak s podignutom sirnom glavom")</f>
        <v>Vijak s podignutom sirnom glavom</v>
      </c>
    </row>
    <row r="3235" spans="1:2" x14ac:dyDescent="0.2">
      <c r="A3235" s="21" t="s">
        <v>1448</v>
      </c>
      <c r="B3235" s="18" t="str">
        <f ca="1">IFERROR(__xludf.DUMMYFUNCTION("GOOGLETRANSLATE(C4723,""en"",""hr"")"),"Vijak")</f>
        <v>Vijak</v>
      </c>
    </row>
    <row r="3236" spans="1:2" x14ac:dyDescent="0.2">
      <c r="A3236" s="21" t="s">
        <v>1455</v>
      </c>
      <c r="B3236" s="18" t="str">
        <f ca="1">IFERROR(__xludf.DUMMYFUNCTION("GOOGLETRANSLATE(C4766,""en"",""hr"")"),"Vijak")</f>
        <v>Vijak</v>
      </c>
    </row>
    <row r="3237" spans="1:2" x14ac:dyDescent="0.2">
      <c r="A3237" s="21" t="s">
        <v>1475</v>
      </c>
      <c r="B3237" s="18" t="str">
        <f ca="1">IFERROR(__xludf.DUMMYFUNCTION("GOOGLETRANSLATE(C4959,""en"",""hr"")"),"Vijak s podignutom sirnom glavom")</f>
        <v>Vijak s podignutom sirnom glavom</v>
      </c>
    </row>
    <row r="3238" spans="1:2" x14ac:dyDescent="0.2">
      <c r="A3238" s="21" t="s">
        <v>1476</v>
      </c>
      <c r="B3238" s="18" t="str">
        <f ca="1">IFERROR(__xludf.DUMMYFUNCTION("GOOGLETRANSLATE(C4960,""en"",""hr"")"),"Upušteni vijak")</f>
        <v>Upušteni vijak</v>
      </c>
    </row>
    <row r="3239" spans="1:2" x14ac:dyDescent="0.2">
      <c r="A3239" s="21" t="s">
        <v>875</v>
      </c>
      <c r="B3239" s="18" t="str">
        <f ca="1">IFERROR(__xludf.DUMMYFUNCTION("GOOGLETRANSLATE(C2566,""en"",""hr"")"),"Očni vijak")</f>
        <v>Očni vijak</v>
      </c>
    </row>
    <row r="3240" spans="1:2" x14ac:dyDescent="0.2">
      <c r="A3240" s="21" t="s">
        <v>1026</v>
      </c>
      <c r="B3240" s="18" t="str">
        <f ca="1">IFERROR(__xludf.DUMMYFUNCTION("GOOGLETRANSLATE(C3333,""en"",""hr"")"),"Očni vijak")</f>
        <v>Očni vijak</v>
      </c>
    </row>
    <row r="3241" spans="1:2" x14ac:dyDescent="0.2">
      <c r="A3241" s="21" t="s">
        <v>772</v>
      </c>
      <c r="B3241" s="18" t="str">
        <f ca="1">IFERROR(__xludf.DUMMYFUNCTION("GOOGLETRANSLATE(C2401,""en"",""hr"")"),"Očni vijak")</f>
        <v>Očni vijak</v>
      </c>
    </row>
    <row r="3242" spans="1:2" x14ac:dyDescent="0.2">
      <c r="A3242" s="21" t="s">
        <v>1002</v>
      </c>
      <c r="B3242" s="18" t="str">
        <f ca="1">IFERROR(__xludf.DUMMYFUNCTION("GOOGLETRANSLATE(C3198,""en"",""hr"")"),"Očni vijak")</f>
        <v>Očni vijak</v>
      </c>
    </row>
    <row r="3243" spans="1:2" x14ac:dyDescent="0.2">
      <c r="A3243" s="21" t="s">
        <v>1487</v>
      </c>
      <c r="B3243" s="18" t="str">
        <f ca="1">IFERROR(__xludf.DUMMYFUNCTION("GOOGLETRANSLATE(C4977,""en"",""hr"")"),"Očni vijak")</f>
        <v>Očni vijak</v>
      </c>
    </row>
    <row r="3244" spans="1:2" x14ac:dyDescent="0.2">
      <c r="A3244" s="21" t="s">
        <v>963</v>
      </c>
      <c r="B3244" s="18" t="str">
        <f ca="1">IFERROR(__xludf.DUMMYFUNCTION("GOOGLETRANSLATE(C3064,""en"",""hr"")"),"Nosivi vijak kpl.")</f>
        <v>Nosivi vijak kpl.</v>
      </c>
    </row>
    <row r="3245" spans="1:2" x14ac:dyDescent="0.2">
      <c r="A3245" s="21" t="s">
        <v>978</v>
      </c>
      <c r="B3245" s="18" t="str">
        <f ca="1">IFERROR(__xludf.DUMMYFUNCTION("GOOGLETRANSLATE(C3116,""en"",""hr"")"),"Nosivi vijak kpl.")</f>
        <v>Nosivi vijak kpl.</v>
      </c>
    </row>
    <row r="3246" spans="1:2" x14ac:dyDescent="0.2">
      <c r="A3246" s="21" t="s">
        <v>965</v>
      </c>
      <c r="B3246" s="18" t="str">
        <f ca="1">IFERROR(__xludf.DUMMYFUNCTION("GOOGLETRANSLATE(C3070,""en"",""hr"")"),"Nosivi vijak kpl.")</f>
        <v>Nosivi vijak kpl.</v>
      </c>
    </row>
    <row r="3247" spans="1:2" x14ac:dyDescent="0.2">
      <c r="A3247" s="21" t="s">
        <v>1546</v>
      </c>
      <c r="B3247" s="18" t="str">
        <f ca="1">IFERROR(__xludf.DUMMYFUNCTION("GOOGLETRANSLATE(C5263,""en"",""hr"")"),"Nosivi vijak kpl.")</f>
        <v>Nosivi vijak kpl.</v>
      </c>
    </row>
    <row r="3248" spans="1:2" x14ac:dyDescent="0.2">
      <c r="A3248" s="21" t="s">
        <v>1700</v>
      </c>
      <c r="B3248" s="18" t="str">
        <f ca="1">IFERROR(__xludf.DUMMYFUNCTION("GOOGLETRANSLATE(C5902,""en"",""hr"")"),"Nosivi vijak kpl.")</f>
        <v>Nosivi vijak kpl.</v>
      </c>
    </row>
    <row r="3249" spans="1:2" x14ac:dyDescent="0.2">
      <c r="A3249" s="21" t="s">
        <v>558</v>
      </c>
      <c r="B3249" s="18" t="str">
        <f ca="1">IFERROR(__xludf.DUMMYFUNCTION("GOOGLETRANSLATE(C1546,""en"",""hr"")"),"Nosivi vijak kpl.")</f>
        <v>Nosivi vijak kpl.</v>
      </c>
    </row>
    <row r="3250" spans="1:2" x14ac:dyDescent="0.2">
      <c r="A3250" s="21" t="s">
        <v>1027</v>
      </c>
      <c r="B3250" s="18" t="str">
        <f ca="1">IFERROR(__xludf.DUMMYFUNCTION("GOOGLETRANSLATE(C3336,""en"",""hr"")"),"Nosivi vijak kpl.")</f>
        <v>Nosivi vijak kpl.</v>
      </c>
    </row>
    <row r="3251" spans="1:2" x14ac:dyDescent="0.2">
      <c r="A3251" s="21" t="s">
        <v>1004</v>
      </c>
      <c r="B3251" s="18" t="str">
        <f ca="1">IFERROR(__xludf.DUMMYFUNCTION("GOOGLETRANSLATE(C3201,""en"",""hr"")"),"Nosivi vijak kpl.")</f>
        <v>Nosivi vijak kpl.</v>
      </c>
    </row>
    <row r="3252" spans="1:2" x14ac:dyDescent="0.2">
      <c r="A3252" s="21" t="s">
        <v>969</v>
      </c>
      <c r="B3252" s="18" t="str">
        <f ca="1">IFERROR(__xludf.DUMMYFUNCTION("GOOGLETRANSLATE(C3081,""en"",""hr"")"),"Nosivi vijak")</f>
        <v>Nosivi vijak</v>
      </c>
    </row>
    <row r="3253" spans="1:2" x14ac:dyDescent="0.2">
      <c r="A3253" s="21" t="s">
        <v>559</v>
      </c>
      <c r="B3253" s="18" t="str">
        <f ca="1">IFERROR(__xludf.DUMMYFUNCTION("GOOGLETRANSLATE(C1547,""en"",""hr"")"),"Nosivi vijak kpl.")</f>
        <v>Nosivi vijak kpl.</v>
      </c>
    </row>
    <row r="3254" spans="1:2" x14ac:dyDescent="0.2">
      <c r="A3254" s="21" t="s">
        <v>1725</v>
      </c>
      <c r="B3254" s="18" t="str">
        <f ca="1">IFERROR(__xludf.DUMMYFUNCTION("GOOGLETRANSLATE(C5990,""en"",""hr"")"),"Nosivi vijak kpl.")</f>
        <v>Nosivi vijak kpl.</v>
      </c>
    </row>
    <row r="3255" spans="1:2" x14ac:dyDescent="0.2">
      <c r="A3255" s="21" t="s">
        <v>1724</v>
      </c>
      <c r="B3255" s="18" t="str">
        <f ca="1">IFERROR(__xludf.DUMMYFUNCTION("GOOGLETRANSLATE(C5988,""en"",""hr"")"),"Screy, nagnute glave")</f>
        <v>Screy, nagnute glave</v>
      </c>
    </row>
    <row r="3256" spans="1:2" x14ac:dyDescent="0.2">
      <c r="A3256" s="21" t="s">
        <v>1024</v>
      </c>
      <c r="B3256" s="18" t="str">
        <f ca="1">IFERROR(__xludf.DUMMYFUNCTION("GOOGLETRANSLATE(C3318,""en"",""hr"")"),"Vijak s okruglom glavom")</f>
        <v>Vijak s okruglom glavom</v>
      </c>
    </row>
    <row r="3257" spans="1:2" x14ac:dyDescent="0.2">
      <c r="A3257" s="21" t="s">
        <v>309</v>
      </c>
      <c r="B3257" s="18" t="str">
        <f ca="1">IFERROR(__xludf.DUMMYFUNCTION("GOOGLETRANSLATE(C685,""en"",""hr"")"),"Vijčani čep")</f>
        <v>Vijčani čep</v>
      </c>
    </row>
    <row r="3258" spans="1:2" x14ac:dyDescent="0.2">
      <c r="A3258" s="21" t="s">
        <v>88</v>
      </c>
      <c r="B3258" s="18" t="str">
        <f ca="1">IFERROR(__xludf.DUMMYFUNCTION("GOOGLETRANSLATE(C202,""en"",""hr"")"),"Vijčani čep I6KT")</f>
        <v>Vijčani čep I6KT</v>
      </c>
    </row>
    <row r="3259" spans="1:2" x14ac:dyDescent="0.2">
      <c r="A3259" s="21" t="s">
        <v>308</v>
      </c>
      <c r="B3259" s="18" t="str">
        <f ca="1">IFERROR(__xludf.DUMMYFUNCTION("GOOGLETRANSLATE(C684,""en"",""hr"")"),"Grub Srew")</f>
        <v>Grub Srew</v>
      </c>
    </row>
    <row r="3260" spans="1:2" x14ac:dyDescent="0.2">
      <c r="A3260" s="21" t="s">
        <v>1364</v>
      </c>
      <c r="B3260" s="18" t="str">
        <f ca="1">IFERROR(__xludf.DUMMYFUNCTION("GOOGLETRANSLATE(C4323,""en"",""hr"")"),"Pin")</f>
        <v>Pin</v>
      </c>
    </row>
    <row r="3261" spans="1:2" x14ac:dyDescent="0.2">
      <c r="A3261" s="21" t="s">
        <v>1672</v>
      </c>
      <c r="B3261" s="18" t="str">
        <f ca="1">IFERROR(__xludf.DUMMYFUNCTION("GOOGLETRANSLATE(C5771,""en"",""hr"")"),"Grub Srew")</f>
        <v>Grub Srew</v>
      </c>
    </row>
    <row r="3262" spans="1:2" x14ac:dyDescent="0.2">
      <c r="A3262" s="21" t="s">
        <v>484</v>
      </c>
      <c r="B3262" s="18" t="str">
        <f ca="1">IFERROR(__xludf.DUMMYFUNCTION("GOOGLETRANSLATE(C1164,""en"",""hr"")"),"Grub Srew")</f>
        <v>Grub Srew</v>
      </c>
    </row>
    <row r="3263" spans="1:2" x14ac:dyDescent="0.2">
      <c r="A3263" s="21" t="s">
        <v>1547</v>
      </c>
      <c r="B3263" s="18" t="str">
        <f ca="1">IFERROR(__xludf.DUMMYFUNCTION("GOOGLETRANSLATE(C5268,""en"",""hr"")"),"Pin")</f>
        <v>Pin</v>
      </c>
    </row>
    <row r="3264" spans="1:2" x14ac:dyDescent="0.2">
      <c r="A3264" s="21" t="s">
        <v>1534</v>
      </c>
      <c r="B3264" s="18" t="str">
        <f ca="1">IFERROR(__xludf.DUMMYFUNCTION("GOOGLETRANSLATE(C5196,""en"",""hr"")"),"Vijak")</f>
        <v>Vijak</v>
      </c>
    </row>
    <row r="3265" spans="1:2" x14ac:dyDescent="0.2">
      <c r="A3265" s="21" t="s">
        <v>1505</v>
      </c>
      <c r="B3265" s="18" t="str">
        <f ca="1">IFERROR(__xludf.DUMMYFUNCTION("GOOGLETRANSLATE(C5057,""en"",""hr"")"),"Orah")</f>
        <v>Orah</v>
      </c>
    </row>
    <row r="3266" spans="1:2" x14ac:dyDescent="0.2">
      <c r="A3266" s="21" t="s">
        <v>975</v>
      </c>
      <c r="B3266" s="18" t="str">
        <f ca="1">IFERROR(__xludf.DUMMYFUNCTION("GOOGLETRANSLATE(C3108,""en"",""hr"")"),"Orah")</f>
        <v>Orah</v>
      </c>
    </row>
    <row r="3267" spans="1:2" x14ac:dyDescent="0.2">
      <c r="A3267" s="21" t="s">
        <v>277</v>
      </c>
      <c r="B3267" s="18" t="str">
        <f ca="1">IFERROR(__xludf.DUMMYFUNCTION("GOOGLETRANSLATE(C608,""en"",""hr"")"),"Orah")</f>
        <v>Orah</v>
      </c>
    </row>
    <row r="3268" spans="1:2" x14ac:dyDescent="0.2">
      <c r="A3268" s="21" t="s">
        <v>263</v>
      </c>
      <c r="B3268" s="18" t="str">
        <f ca="1">IFERROR(__xludf.DUMMYFUNCTION("GOOGLETRANSLATE(C575,""en"",""hr"")"),"Orah")</f>
        <v>Orah</v>
      </c>
    </row>
    <row r="3269" spans="1:2" x14ac:dyDescent="0.2">
      <c r="A3269" s="21" t="s">
        <v>1449</v>
      </c>
      <c r="B3269" s="18" t="str">
        <f ca="1">IFERROR(__xludf.DUMMYFUNCTION("GOOGLETRANSLATE(C4730,""en"",""hr"")"),"Orah")</f>
        <v>Orah</v>
      </c>
    </row>
    <row r="3270" spans="1:2" x14ac:dyDescent="0.2">
      <c r="A3270" s="21" t="s">
        <v>164</v>
      </c>
      <c r="B3270" s="18" t="str">
        <f ca="1">IFERROR(__xludf.DUMMYFUNCTION("GOOGLETRANSLATE(C319,""en"",""hr"")"),"Orah")</f>
        <v>Orah</v>
      </c>
    </row>
    <row r="3271" spans="1:2" x14ac:dyDescent="0.2">
      <c r="A3271" s="21" t="s">
        <v>554</v>
      </c>
      <c r="B3271" s="18" t="str">
        <f ca="1">IFERROR(__xludf.DUMMYFUNCTION("GOOGLETRANSLATE(C1509,""en"",""hr"")"),"Orah")</f>
        <v>Orah</v>
      </c>
    </row>
    <row r="3272" spans="1:2" x14ac:dyDescent="0.2">
      <c r="A3272" s="21" t="s">
        <v>686</v>
      </c>
      <c r="B3272" s="18" t="str">
        <f ca="1">IFERROR(__xludf.DUMMYFUNCTION("GOOGLETRANSLATE(C2165,""en"",""hr"")"),"Orah")</f>
        <v>Orah</v>
      </c>
    </row>
    <row r="3273" spans="1:2" x14ac:dyDescent="0.2">
      <c r="A3273" s="21" t="s">
        <v>625</v>
      </c>
      <c r="B3273" s="18" t="str">
        <f ca="1">IFERROR(__xludf.DUMMYFUNCTION("GOOGLETRANSLATE(C1934,""en"",""hr"")"),"Orah")</f>
        <v>Orah</v>
      </c>
    </row>
    <row r="3274" spans="1:2" x14ac:dyDescent="0.2">
      <c r="A3274" s="21" t="s">
        <v>1384</v>
      </c>
      <c r="B3274" s="18" t="str">
        <f ca="1">IFERROR(__xludf.DUMMYFUNCTION("GOOGLETRANSLATE(C4386,""en"",""hr"")"),"Orah")</f>
        <v>Orah</v>
      </c>
    </row>
    <row r="3275" spans="1:2" x14ac:dyDescent="0.2">
      <c r="A3275" s="21" t="s">
        <v>377</v>
      </c>
      <c r="B3275" s="18" t="str">
        <f ca="1">IFERROR(__xludf.DUMMYFUNCTION("GOOGLETRANSLATE(C853,""en"",""hr"")"),"Orah")</f>
        <v>Orah</v>
      </c>
    </row>
    <row r="3276" spans="1:2" x14ac:dyDescent="0.2">
      <c r="A3276" s="21" t="s">
        <v>670</v>
      </c>
      <c r="B3276" s="18" t="str">
        <f ca="1">IFERROR(__xludf.DUMMYFUNCTION("GOOGLETRANSLATE(C2105,""en"",""hr"")"),"Orah")</f>
        <v>Orah</v>
      </c>
    </row>
    <row r="3277" spans="1:2" x14ac:dyDescent="0.2">
      <c r="A3277" s="21" t="s">
        <v>681</v>
      </c>
      <c r="B3277" s="18" t="str">
        <f ca="1">IFERROR(__xludf.DUMMYFUNCTION("GOOGLETRANSLATE(C2124,""en"",""hr"")"),"Sigurnosna matica")</f>
        <v>Sigurnosna matica</v>
      </c>
    </row>
    <row r="3278" spans="1:2" x14ac:dyDescent="0.2">
      <c r="A3278" s="21" t="s">
        <v>1462</v>
      </c>
      <c r="B3278" s="18" t="str">
        <f ca="1">IFERROR(__xludf.DUMMYFUNCTION("GOOGLETRANSLATE(C4883,""en"",""hr"")"),"Orah")</f>
        <v>Orah</v>
      </c>
    </row>
    <row r="3279" spans="1:2" x14ac:dyDescent="0.2">
      <c r="A3279" s="21" t="s">
        <v>176</v>
      </c>
      <c r="B3279" s="18" t="str">
        <f ca="1">IFERROR(__xludf.DUMMYFUNCTION("GOOGLETRANSLATE(C343,""en"",""hr"")"),"Orah")</f>
        <v>Orah</v>
      </c>
    </row>
    <row r="3280" spans="1:2" x14ac:dyDescent="0.2">
      <c r="A3280" s="21" t="s">
        <v>904</v>
      </c>
      <c r="B3280" s="18" t="str">
        <f ca="1">IFERROR(__xludf.DUMMYFUNCTION("GOOGLETRANSLATE(C2678,""en"",""hr"")"),"Orah")</f>
        <v>Orah</v>
      </c>
    </row>
    <row r="3281" spans="1:2" x14ac:dyDescent="0.2">
      <c r="A3281" s="21" t="s">
        <v>993</v>
      </c>
      <c r="B3281" s="18" t="str">
        <f ca="1">IFERROR(__xludf.DUMMYFUNCTION("GOOGLETRANSLATE(C3174,""en"",""hr"")"),"Orah")</f>
        <v>Orah</v>
      </c>
    </row>
    <row r="3282" spans="1:2" x14ac:dyDescent="0.2">
      <c r="A3282" s="21" t="s">
        <v>258</v>
      </c>
      <c r="B3282" s="18" t="str">
        <f ca="1">IFERROR(__xludf.DUMMYFUNCTION("GOOGLETRANSLATE(C558,""en"",""hr"")"),"Orah")</f>
        <v>Orah</v>
      </c>
    </row>
    <row r="3283" spans="1:2" x14ac:dyDescent="0.2">
      <c r="A3283" s="21" t="s">
        <v>665</v>
      </c>
      <c r="B3283" s="18" t="str">
        <f ca="1">IFERROR(__xludf.DUMMYFUNCTION("GOOGLETRANSLATE(C2090,""en"",""hr"")"),"Orah")</f>
        <v>Orah</v>
      </c>
    </row>
    <row r="3284" spans="1:2" x14ac:dyDescent="0.2">
      <c r="A3284" s="21" t="s">
        <v>616</v>
      </c>
      <c r="B3284" s="18" t="str">
        <f ca="1">IFERROR(__xludf.DUMMYFUNCTION("GOOGLETRANSLATE(C1910,""en"",""hr"")"),"Orah")</f>
        <v>Orah</v>
      </c>
    </row>
    <row r="3285" spans="1:2" x14ac:dyDescent="0.2">
      <c r="A3285" s="21" t="s">
        <v>1499</v>
      </c>
      <c r="B3285" s="18" t="str">
        <f ca="1">IFERROR(__xludf.DUMMYFUNCTION("GOOGLETRANSLATE(C5046,""en"",""hr"")"),"Orah")</f>
        <v>Orah</v>
      </c>
    </row>
    <row r="3286" spans="1:2" x14ac:dyDescent="0.2">
      <c r="A3286" s="21" t="s">
        <v>961</v>
      </c>
      <c r="B3286" s="18" t="str">
        <f ca="1">IFERROR(__xludf.DUMMYFUNCTION("GOOGLETRANSLATE(C3054,""en"",""hr"")"),"Samosigurnosna matica")</f>
        <v>Samosigurnosna matica</v>
      </c>
    </row>
    <row r="3287" spans="1:2" x14ac:dyDescent="0.2">
      <c r="A3287" s="21" t="s">
        <v>298</v>
      </c>
      <c r="B3287" s="18" t="str">
        <f ca="1">IFERROR(__xludf.DUMMYFUNCTION("GOOGLETRANSLATE(C665,""en"",""hr"")"),"Samosigurnosna matica")</f>
        <v>Samosigurnosna matica</v>
      </c>
    </row>
    <row r="3288" spans="1:2" x14ac:dyDescent="0.2">
      <c r="A3288" s="21" t="s">
        <v>594</v>
      </c>
      <c r="B3288" s="18" t="str">
        <f ca="1">IFERROR(__xludf.DUMMYFUNCTION("GOOGLETRANSLATE(C1727,""en"",""hr"")"),"Samosigurnosna matica")</f>
        <v>Samosigurnosna matica</v>
      </c>
    </row>
    <row r="3289" spans="1:2" x14ac:dyDescent="0.2">
      <c r="A3289" s="21" t="s">
        <v>154</v>
      </c>
      <c r="B3289" s="18" t="str">
        <f ca="1">IFERROR(__xludf.DUMMYFUNCTION("GOOGLETRANSLATE(C298,""en"",""hr"")"),"Orah")</f>
        <v>Orah</v>
      </c>
    </row>
    <row r="3290" spans="1:2" x14ac:dyDescent="0.2">
      <c r="A3290" s="21" t="s">
        <v>156</v>
      </c>
      <c r="B3290" s="18" t="str">
        <f ca="1">IFERROR(__xludf.DUMMYFUNCTION("GOOGLETRANSLATE(C303,""en"",""hr"")"),"Zaustavna matica")</f>
        <v>Zaustavna matica</v>
      </c>
    </row>
    <row r="3291" spans="1:2" x14ac:dyDescent="0.2">
      <c r="A3291" s="21" t="s">
        <v>206</v>
      </c>
      <c r="B3291" s="18" t="str">
        <f ca="1">IFERROR(__xludf.DUMMYFUNCTION("GOOGLETRANSLATE(C441,""en"",""hr"")"),"Zaustavna matica")</f>
        <v>Zaustavna matica</v>
      </c>
    </row>
    <row r="3292" spans="1:2" x14ac:dyDescent="0.2">
      <c r="A3292" s="21" t="s">
        <v>380</v>
      </c>
      <c r="B3292" s="18" t="str">
        <f ca="1">IFERROR(__xludf.DUMMYFUNCTION("GOOGLETRANSLATE(C857,""en"",""hr"")"),"Samosigurnosna matica")</f>
        <v>Samosigurnosna matica</v>
      </c>
    </row>
    <row r="3293" spans="1:2" x14ac:dyDescent="0.2">
      <c r="A3293" s="21" t="s">
        <v>234</v>
      </c>
      <c r="B3293" s="18" t="str">
        <f ca="1">IFERROR(__xludf.DUMMYFUNCTION("GOOGLETRANSLATE(C487,""en"",""hr"")"),"Orah")</f>
        <v>Orah</v>
      </c>
    </row>
    <row r="3294" spans="1:2" x14ac:dyDescent="0.2">
      <c r="A3294" s="21" t="s">
        <v>211</v>
      </c>
      <c r="B3294" s="18" t="str">
        <f ca="1">IFERROR(__xludf.DUMMYFUNCTION("GOOGLETRANSLATE(C447,""en"",""hr"")"),"Samosigurnosna matica")</f>
        <v>Samosigurnosna matica</v>
      </c>
    </row>
    <row r="3295" spans="1:2" x14ac:dyDescent="0.2">
      <c r="A3295" s="21" t="s">
        <v>730</v>
      </c>
      <c r="B3295" s="18" t="str">
        <f ca="1">IFERROR(__xludf.DUMMYFUNCTION("GOOGLETRANSLATE(C2289,""en"",""hr"")"),"Samosigurnosna matica")</f>
        <v>Samosigurnosna matica</v>
      </c>
    </row>
    <row r="3296" spans="1:2" x14ac:dyDescent="0.2">
      <c r="A3296" s="21" t="s">
        <v>312</v>
      </c>
      <c r="B3296" s="18" t="str">
        <f ca="1">IFERROR(__xludf.DUMMYFUNCTION("GOOGLETRANSLATE(C691,""en"",""hr"")"),"Šesterokutna matica SSI")</f>
        <v>Šesterokutna matica SSI</v>
      </c>
    </row>
    <row r="3297" spans="1:2" x14ac:dyDescent="0.2">
      <c r="A3297" s="21" t="s">
        <v>722</v>
      </c>
      <c r="B3297" s="18" t="str">
        <f ca="1">IFERROR(__xludf.DUMMYFUNCTION("GOOGLETRANSLATE(C2278,""en"",""hr"")"),"Samosigurnosna matica")</f>
        <v>Samosigurnosna matica</v>
      </c>
    </row>
    <row r="3298" spans="1:2" x14ac:dyDescent="0.2">
      <c r="A3298" s="21" t="s">
        <v>721</v>
      </c>
      <c r="B3298" s="18" t="str">
        <f ca="1">IFERROR(__xludf.DUMMYFUNCTION("GOOGLETRANSLATE(C2277,""en"",""hr"")"),"Zaustavna matica")</f>
        <v>Zaustavna matica</v>
      </c>
    </row>
    <row r="3299" spans="1:2" x14ac:dyDescent="0.2">
      <c r="A3299" s="21" t="s">
        <v>219</v>
      </c>
      <c r="B3299" s="18" t="str">
        <f ca="1">IFERROR(__xludf.DUMMYFUNCTION("GOOGLETRANSLATE(C463,""en"",""hr"")"),"Orah")</f>
        <v>Orah</v>
      </c>
    </row>
    <row r="3300" spans="1:2" x14ac:dyDescent="0.2">
      <c r="A3300" s="21" t="s">
        <v>1058</v>
      </c>
      <c r="B3300" s="18" t="str">
        <f ca="1">IFERROR(__xludf.DUMMYFUNCTION("GOOGLETRANSLATE(C3451,""en"",""hr"")"),"Samosigurnosna matica")</f>
        <v>Samosigurnosna matica</v>
      </c>
    </row>
    <row r="3301" spans="1:2" x14ac:dyDescent="0.2">
      <c r="A3301" s="21" t="s">
        <v>984</v>
      </c>
      <c r="B3301" s="18" t="str">
        <f ca="1">IFERROR(__xludf.DUMMYFUNCTION("GOOGLETRANSLATE(C3139,""en"",""hr"")"),"Samosigurnosna matica")</f>
        <v>Samosigurnosna matica</v>
      </c>
    </row>
    <row r="3302" spans="1:2" x14ac:dyDescent="0.2">
      <c r="A3302" s="21" t="s">
        <v>343</v>
      </c>
      <c r="B3302" s="18" t="str">
        <f ca="1">IFERROR(__xludf.DUMMYFUNCTION("GOOGLETRANSLATE(C768,""en"",""hr"")"),"Samosigurnosna matica")</f>
        <v>Samosigurnosna matica</v>
      </c>
    </row>
    <row r="3303" spans="1:2" x14ac:dyDescent="0.2">
      <c r="A3303" s="21" t="s">
        <v>493</v>
      </c>
      <c r="B3303" s="18" t="str">
        <f ca="1">IFERROR(__xludf.DUMMYFUNCTION("GOOGLETRANSLATE(C1204,""en"",""hr"")"),"Samosigurnosna matica")</f>
        <v>Samosigurnosna matica</v>
      </c>
    </row>
    <row r="3304" spans="1:2" x14ac:dyDescent="0.2">
      <c r="A3304" s="21" t="s">
        <v>1019</v>
      </c>
      <c r="B3304" s="18" t="str">
        <f ca="1">IFERROR(__xludf.DUMMYFUNCTION("GOOGLETRANSLATE(C3292,""en"",""hr"")"),"Samosigurnosna matica")</f>
        <v>Samosigurnosna matica</v>
      </c>
    </row>
    <row r="3305" spans="1:2" x14ac:dyDescent="0.2">
      <c r="A3305" s="21" t="s">
        <v>1016</v>
      </c>
      <c r="B3305" s="18" t="str">
        <f ca="1">IFERROR(__xludf.DUMMYFUNCTION("GOOGLETRANSLATE(C3287,""en"",""hr"")"),"Samosigurnosna matica")</f>
        <v>Samosigurnosna matica</v>
      </c>
    </row>
    <row r="3306" spans="1:2" x14ac:dyDescent="0.2">
      <c r="A3306" s="21" t="s">
        <v>1917</v>
      </c>
      <c r="B3306" s="18" t="str">
        <f ca="1">IFERROR(__xludf.DUMMYFUNCTION("GOOGLETRANSLATE(C6677,""en"",""hr"")"),"Samosigurnosna matica")</f>
        <v>Samosigurnosna matica</v>
      </c>
    </row>
    <row r="3307" spans="1:2" x14ac:dyDescent="0.2">
      <c r="A3307" s="21" t="s">
        <v>1628</v>
      </c>
      <c r="B3307" s="18" t="str">
        <f ca="1">IFERROR(__xludf.DUMMYFUNCTION("GOOGLETRANSLATE(C5481,""en"",""hr"")"),"Samosigurnosna matica")</f>
        <v>Samosigurnosna matica</v>
      </c>
    </row>
    <row r="3308" spans="1:2" x14ac:dyDescent="0.2">
      <c r="A3308" s="21" t="s">
        <v>233</v>
      </c>
      <c r="B3308" s="18" t="str">
        <f ca="1">IFERROR(__xludf.DUMMYFUNCTION("GOOGLETRANSLATE(C485,""en"",""hr"")"),"Šesterokutna matica SSI")</f>
        <v>Šesterokutna matica SSI</v>
      </c>
    </row>
    <row r="3309" spans="1:2" x14ac:dyDescent="0.2">
      <c r="A3309" s="21" t="s">
        <v>1017</v>
      </c>
      <c r="B3309" s="18" t="str">
        <f ca="1">IFERROR(__xludf.DUMMYFUNCTION("GOOGLETRANSLATE(C3290,""en"",""hr"")"),"Šesterokutna matica SSI")</f>
        <v>Šesterokutna matica SSI</v>
      </c>
    </row>
    <row r="3310" spans="1:2" x14ac:dyDescent="0.2">
      <c r="A3310" s="21" t="s">
        <v>217</v>
      </c>
      <c r="B3310" s="18" t="str">
        <f ca="1">IFERROR(__xludf.DUMMYFUNCTION("GOOGLETRANSLATE(C458,""en"",""hr"")"),"Orah")</f>
        <v>Orah</v>
      </c>
    </row>
    <row r="3311" spans="1:2" x14ac:dyDescent="0.2">
      <c r="A3311" s="21" t="s">
        <v>408</v>
      </c>
      <c r="B3311" s="18" t="str">
        <f ca="1">IFERROR(__xludf.DUMMYFUNCTION("GOOGLETRANSLATE(C953,""en"",""hr"")"),"Orah")</f>
        <v>Orah</v>
      </c>
    </row>
    <row r="3312" spans="1:2" x14ac:dyDescent="0.2">
      <c r="A3312" s="21" t="s">
        <v>881</v>
      </c>
      <c r="B3312" s="18" t="str">
        <f ca="1">IFERROR(__xludf.DUMMYFUNCTION("GOOGLETRANSLATE(C2577,""en"",""hr"")"),"Samosigurnosna matica")</f>
        <v>Samosigurnosna matica</v>
      </c>
    </row>
    <row r="3313" spans="1:2" x14ac:dyDescent="0.2">
      <c r="A3313" s="21" t="s">
        <v>867</v>
      </c>
      <c r="B3313" s="18" t="str">
        <f ca="1">IFERROR(__xludf.DUMMYFUNCTION("GOOGLETRANSLATE(C2545,""en"",""hr"")"),"Samosigurnosna matica")</f>
        <v>Samosigurnosna matica</v>
      </c>
    </row>
    <row r="3314" spans="1:2" x14ac:dyDescent="0.2">
      <c r="A3314" s="21" t="s">
        <v>952</v>
      </c>
      <c r="B3314" s="18" t="str">
        <f ca="1">IFERROR(__xludf.DUMMYFUNCTION("GOOGLETRANSLATE(C3026,""en"",""hr"")"),"Samosigurnosna matica")</f>
        <v>Samosigurnosna matica</v>
      </c>
    </row>
    <row r="3315" spans="1:2" x14ac:dyDescent="0.2">
      <c r="A3315" s="21" t="s">
        <v>792</v>
      </c>
      <c r="B3315" s="18" t="str">
        <f ca="1">IFERROR(__xludf.DUMMYFUNCTION("GOOGLETRANSLATE(C2422,""en"",""hr"")"),"Samosigurnosna matica")</f>
        <v>Samosigurnosna matica</v>
      </c>
    </row>
    <row r="3316" spans="1:2" x14ac:dyDescent="0.2">
      <c r="A3316" s="21" t="s">
        <v>876</v>
      </c>
      <c r="B3316" s="18" t="str">
        <f ca="1">IFERROR(__xludf.DUMMYFUNCTION("GOOGLETRANSLATE(C2569,""en"",""hr"")"),"Samosigurnosna matica")</f>
        <v>Samosigurnosna matica</v>
      </c>
    </row>
    <row r="3317" spans="1:2" x14ac:dyDescent="0.2">
      <c r="A3317" s="21" t="s">
        <v>1362</v>
      </c>
      <c r="B3317" s="18" t="str">
        <f ca="1">IFERROR(__xludf.DUMMYFUNCTION("GOOGLETRANSLATE(C4321,""en"",""hr"")"),"Slijepa zakivna matica")</f>
        <v>Slijepa zakivna matica</v>
      </c>
    </row>
    <row r="3318" spans="1:2" x14ac:dyDescent="0.2">
      <c r="A3318" s="21" t="s">
        <v>227</v>
      </c>
      <c r="B3318" s="18" t="str">
        <f ca="1">IFERROR(__xludf.DUMMYFUNCTION("GOOGLETRANSLATE(C477,""en"",""hr"")"),"Dvorski orah")</f>
        <v>Dvorski orah</v>
      </c>
    </row>
    <row r="3319" spans="1:2" x14ac:dyDescent="0.2">
      <c r="A3319" s="21" t="s">
        <v>632</v>
      </c>
      <c r="B3319" s="18" t="str">
        <f ca="1">IFERROR(__xludf.DUMMYFUNCTION("GOOGLETRANSLATE(C1945,""en"",""hr"")"),"Sigurnosna matica")</f>
        <v>Sigurnosna matica</v>
      </c>
    </row>
    <row r="3320" spans="1:2" x14ac:dyDescent="0.2">
      <c r="A3320" s="21" t="s">
        <v>635</v>
      </c>
      <c r="B3320" s="18" t="str">
        <f ca="1">IFERROR(__xludf.DUMMYFUNCTION("GOOGLETRANSLATE(C1951,""en"",""hr"")"),"Sigurnosna matica")</f>
        <v>Sigurnosna matica</v>
      </c>
    </row>
    <row r="3321" spans="1:2" x14ac:dyDescent="0.2">
      <c r="A3321" s="21" t="s">
        <v>1349</v>
      </c>
      <c r="B3321" s="18" t="str">
        <f ca="1">IFERROR(__xludf.DUMMYFUNCTION("GOOGLETRANSLATE(C4278,""en"",""hr"")"),"Poklopna matica")</f>
        <v>Poklopna matica</v>
      </c>
    </row>
    <row r="3322" spans="1:2" x14ac:dyDescent="0.2">
      <c r="A3322" s="21" t="s">
        <v>1383</v>
      </c>
      <c r="B3322" s="18" t="str">
        <f ca="1">IFERROR(__xludf.DUMMYFUNCTION("GOOGLETRANSLATE(C4380,""en"",""hr"")"),"Krilati orah")</f>
        <v>Krilati orah</v>
      </c>
    </row>
    <row r="3323" spans="1:2" x14ac:dyDescent="0.2">
      <c r="A3323" s="21" t="s">
        <v>707</v>
      </c>
      <c r="B3323" s="18" t="str">
        <f ca="1">IFERROR(__xludf.DUMMYFUNCTION("GOOGLETRANSLATE(C2236,""en"",""hr"")"),"Perilica")</f>
        <v>Perilica</v>
      </c>
    </row>
    <row r="3324" spans="1:2" x14ac:dyDescent="0.2">
      <c r="A3324" s="21" t="s">
        <v>218</v>
      </c>
      <c r="B3324" s="18" t="str">
        <f ca="1">IFERROR(__xludf.DUMMYFUNCTION("GOOGLETRANSLATE(C460,""en"",""hr"")"),"Perilica")</f>
        <v>Perilica</v>
      </c>
    </row>
    <row r="3325" spans="1:2" x14ac:dyDescent="0.2">
      <c r="A3325" s="21" t="s">
        <v>260</v>
      </c>
      <c r="B3325" s="18" t="str">
        <f ca="1">IFERROR(__xludf.DUMMYFUNCTION("GOOGLETRANSLATE(C565,""en"",""hr"")"),"Perilica")</f>
        <v>Perilica</v>
      </c>
    </row>
    <row r="3326" spans="1:2" x14ac:dyDescent="0.2">
      <c r="A3326" s="21" t="s">
        <v>193</v>
      </c>
      <c r="B3326" s="18" t="str">
        <f ca="1">IFERROR(__xludf.DUMMYFUNCTION("GOOGLETRANSLATE(C413,""en"",""hr"")"),"Perilica")</f>
        <v>Perilica</v>
      </c>
    </row>
    <row r="3327" spans="1:2" x14ac:dyDescent="0.2">
      <c r="A3327" s="21" t="s">
        <v>1276</v>
      </c>
      <c r="B3327" s="18" t="str">
        <f ca="1">IFERROR(__xludf.DUMMYFUNCTION("GOOGLETRANSLATE(C4009,""en"",""hr"")"),"Perilica")</f>
        <v>Perilica</v>
      </c>
    </row>
    <row r="3328" spans="1:2" x14ac:dyDescent="0.2">
      <c r="A3328" s="21" t="s">
        <v>942</v>
      </c>
      <c r="B3328" s="18" t="str">
        <f ca="1">IFERROR(__xludf.DUMMYFUNCTION("GOOGLETRANSLATE(C2913,""en"",""hr"")"),"Perilica")</f>
        <v>Perilica</v>
      </c>
    </row>
    <row r="3329" spans="1:2" x14ac:dyDescent="0.2">
      <c r="A3329" s="21" t="s">
        <v>318</v>
      </c>
      <c r="B3329" s="18" t="str">
        <f ca="1">IFERROR(__xludf.DUMMYFUNCTION("GOOGLETRANSLATE(C723,""en"",""hr"")"),"Perilica")</f>
        <v>Perilica</v>
      </c>
    </row>
    <row r="3330" spans="1:2" x14ac:dyDescent="0.2">
      <c r="A3330" s="21" t="s">
        <v>1520</v>
      </c>
      <c r="B3330" s="18" t="str">
        <f ca="1">IFERROR(__xludf.DUMMYFUNCTION("GOOGLETRANSLATE(C5157,""en"",""hr"")"),"Perilica")</f>
        <v>Perilica</v>
      </c>
    </row>
    <row r="3331" spans="1:2" x14ac:dyDescent="0.2">
      <c r="A3331" s="21" t="s">
        <v>299</v>
      </c>
      <c r="B3331" s="18" t="str">
        <f ca="1">IFERROR(__xludf.DUMMYFUNCTION("GOOGLETRANSLATE(C666,""en"",""hr"")"),"Perilica")</f>
        <v>Perilica</v>
      </c>
    </row>
    <row r="3332" spans="1:2" x14ac:dyDescent="0.2">
      <c r="A3332" s="21" t="s">
        <v>153</v>
      </c>
      <c r="B3332" s="18" t="str">
        <f ca="1">IFERROR(__xludf.DUMMYFUNCTION("GOOGLETRANSLATE(C296,""en"",""hr"")"),"Perilica")</f>
        <v>Perilica</v>
      </c>
    </row>
    <row r="3333" spans="1:2" x14ac:dyDescent="0.2">
      <c r="A3333" s="21" t="s">
        <v>166</v>
      </c>
      <c r="B3333" s="18" t="str">
        <f ca="1">IFERROR(__xludf.DUMMYFUNCTION("GOOGLETRANSLATE(C321,""en"",""hr"")"),"Perilica")</f>
        <v>Perilica</v>
      </c>
    </row>
    <row r="3334" spans="1:2" x14ac:dyDescent="0.2">
      <c r="A3334" s="21" t="s">
        <v>207</v>
      </c>
      <c r="B3334" s="18" t="str">
        <f ca="1">IFERROR(__xludf.DUMMYFUNCTION("GOOGLETRANSLATE(C442,""en"",""hr"")"),"Perilica")</f>
        <v>Perilica</v>
      </c>
    </row>
    <row r="3335" spans="1:2" x14ac:dyDescent="0.2">
      <c r="A3335" s="21" t="s">
        <v>224</v>
      </c>
      <c r="B3335" s="18" t="str">
        <f ca="1">IFERROR(__xludf.DUMMYFUNCTION("GOOGLETRANSLATE(C474,""en"",""hr"")"),"Perilica")</f>
        <v>Perilica</v>
      </c>
    </row>
    <row r="3336" spans="1:2" x14ac:dyDescent="0.2">
      <c r="A3336" s="21" t="s">
        <v>228</v>
      </c>
      <c r="B3336" s="18" t="str">
        <f ca="1">IFERROR(__xludf.DUMMYFUNCTION("GOOGLETRANSLATE(C478,""en"",""hr"")"),"Perilica")</f>
        <v>Perilica</v>
      </c>
    </row>
    <row r="3337" spans="1:2" x14ac:dyDescent="0.2">
      <c r="A3337" s="21" t="s">
        <v>229</v>
      </c>
      <c r="B3337" s="18" t="str">
        <f ca="1">IFERROR(__xludf.DUMMYFUNCTION("GOOGLETRANSLATE(C480,""en"",""hr"")"),"Perilica")</f>
        <v>Perilica</v>
      </c>
    </row>
    <row r="3338" spans="1:2" x14ac:dyDescent="0.2">
      <c r="A3338" s="21" t="s">
        <v>796</v>
      </c>
      <c r="B3338" s="18" t="str">
        <f ca="1">IFERROR(__xludf.DUMMYFUNCTION("GOOGLETRANSLATE(C2430,""en"",""hr"")"),"Perilica")</f>
        <v>Perilica</v>
      </c>
    </row>
    <row r="3339" spans="1:2" x14ac:dyDescent="0.2">
      <c r="A3339" s="21" t="s">
        <v>209</v>
      </c>
      <c r="B3339" s="18" t="str">
        <f ca="1">IFERROR(__xludf.DUMMYFUNCTION("GOOGLETRANSLATE(C445,""en"",""hr"")"),"Perilica")</f>
        <v>Perilica</v>
      </c>
    </row>
    <row r="3340" spans="1:2" x14ac:dyDescent="0.2">
      <c r="A3340" s="21" t="s">
        <v>1057</v>
      </c>
      <c r="B3340" s="18" t="str">
        <f ca="1">IFERROR(__xludf.DUMMYFUNCTION("GOOGLETRANSLATE(C3450,""en"",""hr"")"),"Perilica")</f>
        <v>Perilica</v>
      </c>
    </row>
    <row r="3341" spans="1:2" x14ac:dyDescent="0.2">
      <c r="A3341" s="21" t="s">
        <v>982</v>
      </c>
      <c r="B3341" s="18" t="str">
        <f ca="1">IFERROR(__xludf.DUMMYFUNCTION("GOOGLETRANSLATE(C3136,""en"",""hr"")"),"Perilica")</f>
        <v>Perilica</v>
      </c>
    </row>
    <row r="3342" spans="1:2" x14ac:dyDescent="0.2">
      <c r="A3342" s="21" t="s">
        <v>175</v>
      </c>
      <c r="B3342" s="18" t="str">
        <f ca="1">IFERROR(__xludf.DUMMYFUNCTION("GOOGLETRANSLATE(C342,""en"",""hr"")"),"Perilica")</f>
        <v>Perilica</v>
      </c>
    </row>
    <row r="3343" spans="1:2" x14ac:dyDescent="0.2">
      <c r="A3343" s="21" t="s">
        <v>400</v>
      </c>
      <c r="B3343" s="18" t="str">
        <f ca="1">IFERROR(__xludf.DUMMYFUNCTION("GOOGLETRANSLATE(C942,""en"",""hr"")"),"Perilica")</f>
        <v>Perilica</v>
      </c>
    </row>
    <row r="3344" spans="1:2" x14ac:dyDescent="0.2">
      <c r="A3344" s="21" t="s">
        <v>990</v>
      </c>
      <c r="B3344" s="18" t="str">
        <f ca="1">IFERROR(__xludf.DUMMYFUNCTION("GOOGLETRANSLATE(C3169,""en"",""hr"")"),"Perilica")</f>
        <v>Perilica</v>
      </c>
    </row>
    <row r="3345" spans="1:2" x14ac:dyDescent="0.2">
      <c r="A3345" s="21" t="s">
        <v>289</v>
      </c>
      <c r="B3345" s="18" t="str">
        <f ca="1">IFERROR(__xludf.DUMMYFUNCTION("GOOGLETRANSLATE(C639,""en"",""hr"")"),"Perilica")</f>
        <v>Perilica</v>
      </c>
    </row>
    <row r="3346" spans="1:2" x14ac:dyDescent="0.2">
      <c r="A3346" s="21" t="s">
        <v>981</v>
      </c>
      <c r="B3346" s="18" t="str">
        <f ca="1">IFERROR(__xludf.DUMMYFUNCTION("GOOGLETRANSLATE(C3127,""en"",""hr"")"),"Perilica")</f>
        <v>Perilica</v>
      </c>
    </row>
    <row r="3347" spans="1:2" x14ac:dyDescent="0.2">
      <c r="A3347" s="21" t="s">
        <v>2023</v>
      </c>
      <c r="B3347" s="18" t="str">
        <f ca="1">IFERROR(__xludf.DUMMYFUNCTION("GOOGLETRANSLATE(C6858,""en"",""hr"")"),"Perilica")</f>
        <v>Perilica</v>
      </c>
    </row>
    <row r="3348" spans="1:2" x14ac:dyDescent="0.2">
      <c r="A3348" s="21" t="s">
        <v>1629</v>
      </c>
      <c r="B3348" s="18" t="str">
        <f ca="1">IFERROR(__xludf.DUMMYFUNCTION("GOOGLETRANSLATE(C5482,""en"",""hr"")"),"Perilica")</f>
        <v>Perilica</v>
      </c>
    </row>
    <row r="3349" spans="1:2" x14ac:dyDescent="0.2">
      <c r="A3349" s="21" t="s">
        <v>395</v>
      </c>
      <c r="B3349" s="18" t="str">
        <f ca="1">IFERROR(__xludf.DUMMYFUNCTION("GOOGLETRANSLATE(C929,""en"",""hr"")"),"Cu prsten")</f>
        <v>Cu prsten</v>
      </c>
    </row>
    <row r="3350" spans="1:2" x14ac:dyDescent="0.2">
      <c r="A3350" s="21" t="s">
        <v>898</v>
      </c>
      <c r="B3350" s="18" t="str">
        <f ca="1">IFERROR(__xludf.DUMMYFUNCTION("GOOGLETRANSLATE(C2657,""en"",""hr"")"),"Perilica")</f>
        <v>Perilica</v>
      </c>
    </row>
    <row r="3351" spans="1:2" x14ac:dyDescent="0.2">
      <c r="A3351" s="21" t="s">
        <v>853</v>
      </c>
      <c r="B3351" s="18" t="str">
        <f ca="1">IFERROR(__xludf.DUMMYFUNCTION("GOOGLETRANSLATE(C2520,""en"",""hr"")"),"Perilica")</f>
        <v>Perilica</v>
      </c>
    </row>
    <row r="3352" spans="1:2" x14ac:dyDescent="0.2">
      <c r="A3352" s="21" t="s">
        <v>1577</v>
      </c>
      <c r="B3352" s="18" t="str">
        <f ca="1">IFERROR(__xludf.DUMMYFUNCTION("GOOGLETRANSLATE(C5345,""en"",""hr"")"),"Perilica")</f>
        <v>Perilica</v>
      </c>
    </row>
    <row r="3353" spans="1:2" x14ac:dyDescent="0.2">
      <c r="A3353" s="21" t="s">
        <v>943</v>
      </c>
      <c r="B3353" s="18" t="str">
        <f ca="1">IFERROR(__xludf.DUMMYFUNCTION("GOOGLETRANSLATE(C2952,""en"",""hr"")"),"Perilica")</f>
        <v>Perilica</v>
      </c>
    </row>
    <row r="3354" spans="1:2" x14ac:dyDescent="0.2">
      <c r="A3354" s="21" t="s">
        <v>861</v>
      </c>
      <c r="B3354" s="18" t="str">
        <f ca="1">IFERROR(__xludf.DUMMYFUNCTION("GOOGLETRANSLATE(C2534,""en"",""hr"")"),"Perilica")</f>
        <v>Perilica</v>
      </c>
    </row>
    <row r="3355" spans="1:2" x14ac:dyDescent="0.2">
      <c r="A3355" s="21" t="s">
        <v>675</v>
      </c>
      <c r="B3355" s="18" t="str">
        <f ca="1">IFERROR(__xludf.DUMMYFUNCTION("GOOGLETRANSLATE(C2115,""en"",""hr"")"),"Perilica")</f>
        <v>Perilica</v>
      </c>
    </row>
    <row r="3356" spans="1:2" x14ac:dyDescent="0.2">
      <c r="A3356" s="21" t="s">
        <v>771</v>
      </c>
      <c r="B3356" s="18" t="str">
        <f ca="1">IFERROR(__xludf.DUMMYFUNCTION("GOOGLETRANSLATE(C2400,""en"",""hr"")"),"Perilica")</f>
        <v>Perilica</v>
      </c>
    </row>
    <row r="3357" spans="1:2" x14ac:dyDescent="0.2">
      <c r="A3357" s="21" t="s">
        <v>785</v>
      </c>
      <c r="B3357" s="18" t="str">
        <f ca="1">IFERROR(__xludf.DUMMYFUNCTION("GOOGLETRANSLATE(C2415,""en"",""hr"")"),"Perilica")</f>
        <v>Perilica</v>
      </c>
    </row>
    <row r="3358" spans="1:2" x14ac:dyDescent="0.2">
      <c r="A3358" s="21" t="s">
        <v>1624</v>
      </c>
      <c r="B3358" s="18" t="str">
        <f ca="1">IFERROR(__xludf.DUMMYFUNCTION("GOOGLETRANSLATE(C5471,""en"",""hr"")"),"Perilica")</f>
        <v>Perilica</v>
      </c>
    </row>
    <row r="3359" spans="1:2" x14ac:dyDescent="0.2">
      <c r="A3359" s="21" t="s">
        <v>618</v>
      </c>
      <c r="B3359" s="18" t="str">
        <f ca="1">IFERROR(__xludf.DUMMYFUNCTION("GOOGLETRANSLATE(C1920,""en"",""hr"")"),"Perilica")</f>
        <v>Perilica</v>
      </c>
    </row>
    <row r="3360" spans="1:2" x14ac:dyDescent="0.2">
      <c r="A3360" s="21" t="s">
        <v>677</v>
      </c>
      <c r="B3360" s="18" t="str">
        <f ca="1">IFERROR(__xludf.DUMMYFUNCTION("GOOGLETRANSLATE(C2118,""en"",""hr"")"),"Perilica")</f>
        <v>Perilica</v>
      </c>
    </row>
    <row r="3361" spans="1:2" x14ac:dyDescent="0.2">
      <c r="A3361" s="21" t="s">
        <v>1450</v>
      </c>
      <c r="B3361" s="18" t="str">
        <f ca="1">IFERROR(__xludf.DUMMYFUNCTION("GOOGLETRANSLATE(C4732,""en"",""hr"")"),"Perilica")</f>
        <v>Perilica</v>
      </c>
    </row>
    <row r="3362" spans="1:2" x14ac:dyDescent="0.2">
      <c r="A3362" s="21" t="s">
        <v>180</v>
      </c>
      <c r="B3362" s="18" t="str">
        <f ca="1">IFERROR(__xludf.DUMMYFUNCTION("GOOGLETRANSLATE(C364,""en"",""hr"")"),"Perilica")</f>
        <v>Perilica</v>
      </c>
    </row>
    <row r="3363" spans="1:2" x14ac:dyDescent="0.2">
      <c r="A3363" s="21" t="s">
        <v>151</v>
      </c>
      <c r="B3363" s="18" t="str">
        <f ca="1">IFERROR(__xludf.DUMMYFUNCTION("GOOGLETRANSLATE(C293,""en"",""hr"")"),"Podloška za zaključavanje")</f>
        <v>Podloška za zaključavanje</v>
      </c>
    </row>
    <row r="3364" spans="1:2" x14ac:dyDescent="0.2">
      <c r="A3364" s="21" t="s">
        <v>147</v>
      </c>
      <c r="B3364" s="18" t="str">
        <f ca="1">IFERROR(__xludf.DUMMYFUNCTION("GOOGLETRANSLATE(C287,""en"",""hr"")"),"Klinasta podloška")</f>
        <v>Klinasta podloška</v>
      </c>
    </row>
    <row r="3365" spans="1:2" x14ac:dyDescent="0.2">
      <c r="A3365" s="21" t="s">
        <v>335</v>
      </c>
      <c r="B3365" s="18" t="str">
        <f ca="1">IFERROR(__xludf.DUMMYFUNCTION("GOOGLETRANSLATE(C755,""en"",""hr"")"),"Klinasta podloška")</f>
        <v>Klinasta podloška</v>
      </c>
    </row>
    <row r="3366" spans="1:2" x14ac:dyDescent="0.2">
      <c r="A3366" s="21" t="s">
        <v>397</v>
      </c>
      <c r="B3366" s="18" t="str">
        <f ca="1">IFERROR(__xludf.DUMMYFUNCTION("GOOGLETRANSLATE(C937,""en"",""hr"")"),"Wedge Lock podloška")</f>
        <v>Wedge Lock podloška</v>
      </c>
    </row>
    <row r="3367" spans="1:2" x14ac:dyDescent="0.2">
      <c r="A3367" s="21" t="s">
        <v>793</v>
      </c>
      <c r="B3367" s="18" t="str">
        <f ca="1">IFERROR(__xludf.DUMMYFUNCTION("GOOGLETRANSLATE(C2423,""en"",""hr"")"),"Perilica")</f>
        <v>Perilica</v>
      </c>
    </row>
    <row r="3368" spans="1:2" x14ac:dyDescent="0.2">
      <c r="A3368" s="21" t="s">
        <v>1836</v>
      </c>
      <c r="B3368" s="18" t="str">
        <f ca="1">IFERROR(__xludf.DUMMYFUNCTION("GOOGLETRANSLATE(C6425,""en"",""hr"")"),"Perilica")</f>
        <v>Perilica</v>
      </c>
    </row>
    <row r="3369" spans="1:2" x14ac:dyDescent="0.2">
      <c r="A3369" s="21" t="s">
        <v>617</v>
      </c>
      <c r="B3369" s="18" t="str">
        <f ca="1">IFERROR(__xludf.DUMMYFUNCTION("GOOGLETRANSLATE(C1912,""en"",""hr"")"),"Perilica")</f>
        <v>Perilica</v>
      </c>
    </row>
    <row r="3370" spans="1:2" x14ac:dyDescent="0.2">
      <c r="A3370" s="21" t="s">
        <v>1459</v>
      </c>
      <c r="B3370" s="18" t="str">
        <f ca="1">IFERROR(__xludf.DUMMYFUNCTION("GOOGLETRANSLATE(C4856,""en"",""hr"")"),"Perilica")</f>
        <v>Perilica</v>
      </c>
    </row>
    <row r="3371" spans="1:2" x14ac:dyDescent="0.2">
      <c r="A3371" s="21" t="s">
        <v>179</v>
      </c>
      <c r="B3371" s="18" t="str">
        <f ca="1">IFERROR(__xludf.DUMMYFUNCTION("GOOGLETRANSLATE(C363,""en"",""hr"")"),"Perilica")</f>
        <v>Perilica</v>
      </c>
    </row>
    <row r="3372" spans="1:2" x14ac:dyDescent="0.2">
      <c r="A3372" s="21" t="s">
        <v>149</v>
      </c>
      <c r="B3372" s="18" t="str">
        <f ca="1">IFERROR(__xludf.DUMMYFUNCTION("GOOGLETRANSLATE(C289,""en"",""hr"")"),"Perilica")</f>
        <v>Perilica</v>
      </c>
    </row>
    <row r="3373" spans="1:2" x14ac:dyDescent="0.2">
      <c r="A3373" s="21" t="s">
        <v>331</v>
      </c>
      <c r="B3373" s="18" t="str">
        <f ca="1">IFERROR(__xludf.DUMMYFUNCTION("GOOGLETRANSLATE(C748,""en"",""hr"")"),"Perilica")</f>
        <v>Perilica</v>
      </c>
    </row>
    <row r="3374" spans="1:2" x14ac:dyDescent="0.2">
      <c r="A3374" s="21" t="s">
        <v>216</v>
      </c>
      <c r="B3374" s="18" t="str">
        <f ca="1">IFERROR(__xludf.DUMMYFUNCTION("GOOGLETRANSLATE(C457,""en"",""hr"")"),"Perilica")</f>
        <v>Perilica</v>
      </c>
    </row>
    <row r="3375" spans="1:2" x14ac:dyDescent="0.2">
      <c r="A3375" s="21" t="s">
        <v>146</v>
      </c>
      <c r="B3375" s="18" t="str">
        <f ca="1">IFERROR(__xludf.DUMMYFUNCTION("GOOGLETRANSLATE(C285,""en"",""hr"")"),"Perilica")</f>
        <v>Perilica</v>
      </c>
    </row>
    <row r="3376" spans="1:2" x14ac:dyDescent="0.2">
      <c r="A3376" s="21" t="s">
        <v>1464</v>
      </c>
      <c r="B3376" s="18" t="str">
        <f ca="1">IFERROR(__xludf.DUMMYFUNCTION("GOOGLETRANSLATE(C4886,""en"",""hr"")"),"Perilica")</f>
        <v>Perilica</v>
      </c>
    </row>
    <row r="3377" spans="1:2" x14ac:dyDescent="0.2">
      <c r="A3377" s="21" t="s">
        <v>183</v>
      </c>
      <c r="B3377" s="18" t="str">
        <f ca="1">IFERROR(__xludf.DUMMYFUNCTION("GOOGLETRANSLATE(C373,""en"",""hr"")"),"Perilica")</f>
        <v>Perilica</v>
      </c>
    </row>
    <row r="3378" spans="1:2" x14ac:dyDescent="0.2">
      <c r="A3378" s="21" t="s">
        <v>920</v>
      </c>
      <c r="B3378" s="18" t="str">
        <f ca="1">IFERROR(__xludf.DUMMYFUNCTION("GOOGLETRANSLATE(C2765,""en"",""hr"")"),"Perilica")</f>
        <v>Perilica</v>
      </c>
    </row>
    <row r="3379" spans="1:2" x14ac:dyDescent="0.2">
      <c r="A3379" s="21" t="s">
        <v>495</v>
      </c>
      <c r="B3379" s="18" t="str">
        <f ca="1">IFERROR(__xludf.DUMMYFUNCTION("GOOGLETRANSLATE(C1208,""en"",""hr"")"),"Perilica")</f>
        <v>Perilica</v>
      </c>
    </row>
    <row r="3380" spans="1:2" x14ac:dyDescent="0.2">
      <c r="A3380" s="21" t="s">
        <v>1377</v>
      </c>
      <c r="B3380" s="18" t="str">
        <f ca="1">IFERROR(__xludf.DUMMYFUNCTION("GOOGLETRANSLATE(C4365,""en"",""hr"")"),"Perilica")</f>
        <v>Perilica</v>
      </c>
    </row>
    <row r="3381" spans="1:2" x14ac:dyDescent="0.2">
      <c r="A3381" s="21" t="s">
        <v>1031</v>
      </c>
      <c r="B3381" s="18" t="str">
        <f ca="1">IFERROR(__xludf.DUMMYFUNCTION("GOOGLETRANSLATE(C3356,""en"",""hr"")"),"Podloška za zaključavanje unutarnjih zuba")</f>
        <v>Podloška za zaključavanje unutarnjih zuba</v>
      </c>
    </row>
    <row r="3382" spans="1:2" x14ac:dyDescent="0.2">
      <c r="A3382" s="21" t="s">
        <v>311</v>
      </c>
      <c r="B3382" s="18" t="str">
        <f ca="1">IFERROR(__xludf.DUMMYFUNCTION("GOOGLETRANSLATE(C690,""en"",""hr"")"),"Podloška za zaključavanje")</f>
        <v>Podloška za zaključavanje</v>
      </c>
    </row>
    <row r="3383" spans="1:2" x14ac:dyDescent="0.2">
      <c r="A3383" s="21" t="s">
        <v>1356</v>
      </c>
      <c r="B3383" s="18" t="str">
        <f ca="1">IFERROR(__xludf.DUMMYFUNCTION("GOOGLETRANSLATE(C4300,""en"",""hr"")"),"Vijak")</f>
        <v>Vijak</v>
      </c>
    </row>
    <row r="3384" spans="1:2" x14ac:dyDescent="0.2">
      <c r="A3384" s="21" t="s">
        <v>994</v>
      </c>
      <c r="B3384" s="18" t="str">
        <f ca="1">IFERROR(__xludf.DUMMYFUNCTION("GOOGLETRANSLATE(C3176,""en"",""hr"")"),"Vijak za postavljanje ramena")</f>
        <v>Vijak za postavljanje ramena</v>
      </c>
    </row>
    <row r="3385" spans="1:2" x14ac:dyDescent="0.2">
      <c r="A3385" s="21" t="s">
        <v>1225</v>
      </c>
      <c r="B3385" s="18" t="str">
        <f ca="1">IFERROR(__xludf.DUMMYFUNCTION("GOOGLETRANSLATE(C3872,""en"",""hr"")"),"Zakretni zatik")</f>
        <v>Zakretni zatik</v>
      </c>
    </row>
    <row r="3386" spans="1:2" x14ac:dyDescent="0.2">
      <c r="A3386" s="21" t="s">
        <v>1548</v>
      </c>
      <c r="B3386" s="18" t="str">
        <f ca="1">IFERROR(__xludf.DUMMYFUNCTION("GOOGLETRANSLATE(C5270,""en"",""hr"")"),"Pin")</f>
        <v>Pin</v>
      </c>
    </row>
    <row r="3387" spans="1:2" x14ac:dyDescent="0.2">
      <c r="A3387" s="21" t="s">
        <v>1652</v>
      </c>
      <c r="B3387" s="18" t="str">
        <f ca="1">IFERROR(__xludf.DUMMYFUNCTION("GOOGLETRANSLATE(C5611,""en"",""hr"")"),"Stezna čahura")</f>
        <v>Stezna čahura</v>
      </c>
    </row>
    <row r="3388" spans="1:2" x14ac:dyDescent="0.2">
      <c r="A3388" s="21" t="s">
        <v>2022</v>
      </c>
      <c r="B3388" s="18" t="str">
        <f ca="1">IFERROR(__xludf.DUMMYFUNCTION("GOOGLETRANSLATE(C6839,""en"",""hr"")"),"Stezna čahura")</f>
        <v>Stezna čahura</v>
      </c>
    </row>
    <row r="3389" spans="1:2" x14ac:dyDescent="0.2">
      <c r="A3389" s="21" t="s">
        <v>822</v>
      </c>
      <c r="B3389" s="18" t="str">
        <f ca="1">IFERROR(__xludf.DUMMYFUNCTION("GOOGLETRANSLATE(C2475,""en"",""hr"")"),"Stezna čahura")</f>
        <v>Stezna čahura</v>
      </c>
    </row>
    <row r="3390" spans="1:2" x14ac:dyDescent="0.2">
      <c r="A3390" s="21" t="s">
        <v>1355</v>
      </c>
      <c r="B3390" s="18" t="str">
        <f ca="1">IFERROR(__xludf.DUMMYFUNCTION("GOOGLETRANSLATE(C4298,""en"",""hr"")"),"Razdvojena igla")</f>
        <v>Razdvojena igla</v>
      </c>
    </row>
    <row r="3391" spans="1:2" x14ac:dyDescent="0.2">
      <c r="A3391" s="21" t="s">
        <v>324</v>
      </c>
      <c r="B3391" s="18" t="str">
        <f ca="1">IFERROR(__xludf.DUMMYFUNCTION("GOOGLETRANSLATE(C733,""en"",""hr"")"),"Razdvojena igla")</f>
        <v>Razdvojena igla</v>
      </c>
    </row>
    <row r="3392" spans="1:2" x14ac:dyDescent="0.2">
      <c r="A3392" s="21" t="s">
        <v>821</v>
      </c>
      <c r="B3392" s="18" t="str">
        <f ca="1">IFERROR(__xludf.DUMMYFUNCTION("GOOGLETRANSLATE(C2474,""en"",""hr"")"),"Razdvojena igla")</f>
        <v>Razdvojena igla</v>
      </c>
    </row>
    <row r="3393" spans="1:2" x14ac:dyDescent="0.2">
      <c r="A3393" s="21" t="s">
        <v>231</v>
      </c>
      <c r="B3393" s="18" t="str">
        <f ca="1">IFERROR(__xludf.DUMMYFUNCTION("GOOGLETRANSLATE(C483,""en"",""hr"")"),"Razdvojena igla")</f>
        <v>Razdvojena igla</v>
      </c>
    </row>
    <row r="3394" spans="1:2" x14ac:dyDescent="0.2">
      <c r="A3394" s="21" t="s">
        <v>786</v>
      </c>
      <c r="B3394" s="18" t="str">
        <f ca="1">IFERROR(__xludf.DUMMYFUNCTION("GOOGLETRANSLATE(C2416,""en"",""hr"")"),"Razdvojena igla")</f>
        <v>Razdvojena igla</v>
      </c>
    </row>
    <row r="3395" spans="1:2" x14ac:dyDescent="0.2">
      <c r="A3395" s="21" t="s">
        <v>1868</v>
      </c>
      <c r="B3395" s="18" t="str">
        <f ca="1">IFERROR(__xludf.DUMMYFUNCTION("GOOGLETRANSLATE(C6580,""en"",""hr"")"),"Dijagnostička jedinica Bodas-Service")</f>
        <v>Dijagnostička jedinica Bodas-Service</v>
      </c>
    </row>
    <row r="3396" spans="1:2" x14ac:dyDescent="0.2">
      <c r="A3396" s="21" t="s">
        <v>1866</v>
      </c>
      <c r="B3396" s="18" t="str">
        <f ca="1">IFERROR(__xludf.DUMMYFUNCTION("GOOGLETRANSLATE(C6577,""en"",""hr"")"),"Set alata za izbacivanje")</f>
        <v>Set alata za izbacivanje</v>
      </c>
    </row>
    <row r="3397" spans="1:2" x14ac:dyDescent="0.2">
      <c r="A3397" s="21" t="s">
        <v>1867</v>
      </c>
      <c r="B3397" s="18" t="str">
        <f ca="1">IFERROR(__xludf.DUMMYFUNCTION("GOOGLETRANSLATE(C6579,""en"",""hr"")"),"PCAN-Explorer 6 uklj. Dodaci")</f>
        <v>PCAN-Explorer 6 uklj. Dodaci</v>
      </c>
    </row>
    <row r="3398" spans="1:2" x14ac:dyDescent="0.2">
      <c r="A3398" s="21" t="s">
        <v>1886</v>
      </c>
      <c r="B3398" s="18" t="str">
        <f ca="1">IFERROR(__xludf.DUMMYFUNCTION("GOOGLETRANSLATE(C6601,""en"",""hr"")"),"Alat za blokiranje radilice")</f>
        <v>Alat za blokiranje radilice</v>
      </c>
    </row>
    <row r="3399" spans="1:2" x14ac:dyDescent="0.2">
      <c r="A3399" s="21" t="s">
        <v>1887</v>
      </c>
      <c r="B3399" s="18" t="str">
        <f ca="1">IFERROR(__xludf.DUMMYFUNCTION("GOOGLETRANSLATE(C6602,""en"",""hr"")"),"Ekstraktor kotača radilice")</f>
        <v>Ekstraktor kotača radilice</v>
      </c>
    </row>
    <row r="3400" spans="1:2" x14ac:dyDescent="0.2">
      <c r="A3400" s="21" t="s">
        <v>1888</v>
      </c>
      <c r="B3400" s="18" t="str">
        <f ca="1">IFERROR(__xludf.DUMMYFUNCTION("GOOGLETRANSLATE(C6603,""en"",""hr"")"),"Alat za KW brtvu")</f>
        <v>Alat za KW brtvu</v>
      </c>
    </row>
    <row r="3401" spans="1:2" x14ac:dyDescent="0.2">
      <c r="A3401" s="21" t="s">
        <v>1889</v>
      </c>
      <c r="B3401" s="18" t="str">
        <f ca="1">IFERROR(__xludf.DUMMYFUNCTION("GOOGLETRANSLATE(C6604,""en"",""hr"")"),"Alat za KW brtvu")</f>
        <v>Alat za KW brtvu</v>
      </c>
    </row>
    <row r="3402" spans="1:2" x14ac:dyDescent="0.2">
      <c r="A3402" s="21" t="s">
        <v>1890</v>
      </c>
      <c r="B3402" s="18" t="str">
        <f ca="1">IFERROR(__xludf.DUMMYFUNCTION("GOOGLETRANSLATE(C6605,""en"",""hr"")"),"Adapter za ispitivanje tlaka kompresije")</f>
        <v>Adapter za ispitivanje tlaka kompresije</v>
      </c>
    </row>
    <row r="3403" spans="1:2" x14ac:dyDescent="0.2">
      <c r="A3403" s="21" t="s">
        <v>1891</v>
      </c>
      <c r="B3403" s="18" t="str">
        <f ca="1">IFERROR(__xludf.DUMMYFUNCTION("GOOGLETRANSLATE(C6606,""en"",""hr"")"),"Break Out Box")</f>
        <v>Break Out Box</v>
      </c>
    </row>
    <row r="3404" spans="1:2" x14ac:dyDescent="0.2">
      <c r="A3404" s="21" t="s">
        <v>1892</v>
      </c>
      <c r="B3404" s="18" t="str">
        <f ca="1">IFERROR(__xludf.DUMMYFUNCTION("GOOGLETRANSLATE(C6607,""en"",""hr"")"),"Alat za postavljanje remena")</f>
        <v>Alat za postavljanje remena</v>
      </c>
    </row>
    <row r="3405" spans="1:2" x14ac:dyDescent="0.2">
      <c r="A3405" s="21" t="s">
        <v>1873</v>
      </c>
      <c r="B3405" s="18" t="str">
        <f ca="1">IFERROR(__xludf.DUMMYFUNCTION("GOOGLETRANSLATE(C6587,""en"",""hr"")"),"Deutz servisni alat")</f>
        <v>Deutz servisni alat</v>
      </c>
    </row>
    <row r="3406" spans="1:2" x14ac:dyDescent="0.2">
      <c r="A3406" s="21" t="s">
        <v>1874</v>
      </c>
      <c r="B3406" s="18" t="str">
        <f ca="1">IFERROR(__xludf.DUMMYFUNCTION("GOOGLETRANSLATE(C6588,""en"",""hr"")"),"mjerač")</f>
        <v>mjerač</v>
      </c>
    </row>
    <row r="3407" spans="1:2" x14ac:dyDescent="0.2">
      <c r="A3407" s="21" t="s">
        <v>1875</v>
      </c>
      <c r="B3407" s="18" t="str">
        <f ca="1">IFERROR(__xludf.DUMMYFUNCTION("GOOGLETRANSLATE(C6589,""en"",""hr"")"),"Kontradržač")</f>
        <v>Kontradržač</v>
      </c>
    </row>
    <row r="3408" spans="1:2" x14ac:dyDescent="0.2">
      <c r="A3408" s="21" t="s">
        <v>1876</v>
      </c>
      <c r="B3408" s="18" t="str">
        <f ca="1">IFERROR(__xludf.DUMMYFUNCTION("GOOGLETRANSLATE(C6590,""en"",""hr"")"),"Alat za zaključavanje radilice")</f>
        <v>Alat za zaključavanje radilice</v>
      </c>
    </row>
    <row r="3409" spans="1:2" x14ac:dyDescent="0.2">
      <c r="A3409" s="21" t="s">
        <v>1877</v>
      </c>
      <c r="B3409" s="18" t="str">
        <f ca="1">IFERROR(__xludf.DUMMYFUNCTION("GOOGLETRANSLATE(C6591,""en"",""hr"")"),"Ključ za grijače")</f>
        <v>Ključ za grijače</v>
      </c>
    </row>
    <row r="3410" spans="1:2" x14ac:dyDescent="0.2">
      <c r="A3410" s="21" t="s">
        <v>1878</v>
      </c>
      <c r="B3410" s="18" t="str">
        <f ca="1">IFERROR(__xludf.DUMMYFUNCTION("GOOGLETRANSLATE(C6592,""en"",""hr"")"),"Alat za odvajanje")</f>
        <v>Alat za odvajanje</v>
      </c>
    </row>
    <row r="3411" spans="1:2" x14ac:dyDescent="0.2">
      <c r="A3411" s="21" t="s">
        <v>1879</v>
      </c>
      <c r="B3411" s="18" t="str">
        <f ca="1">IFERROR(__xludf.DUMMYFUNCTION("GOOGLETRANSLATE(C6593,""en"",""hr"")"),"Alat za KW brtvu")</f>
        <v>Alat za KW brtvu</v>
      </c>
    </row>
    <row r="3412" spans="1:2" x14ac:dyDescent="0.2">
      <c r="A3412" s="21" t="s">
        <v>1880</v>
      </c>
      <c r="B3412" s="18" t="str">
        <f ca="1">IFERROR(__xludf.DUMMYFUNCTION("GOOGLETRANSLATE(C6594,""en"",""hr"")"),"Alat za KW brtvu")</f>
        <v>Alat za KW brtvu</v>
      </c>
    </row>
    <row r="3413" spans="1:2" x14ac:dyDescent="0.2">
      <c r="A3413" s="21" t="s">
        <v>1881</v>
      </c>
      <c r="B3413" s="18" t="str">
        <f ca="1">IFERROR(__xludf.DUMMYFUNCTION("GOOGLETRANSLATE(C6595,""en"",""hr"")"),"Mehanizam za izvlačenje")</f>
        <v>Mehanizam za izvlačenje</v>
      </c>
    </row>
    <row r="3414" spans="1:2" x14ac:dyDescent="0.2">
      <c r="A3414" s="21" t="s">
        <v>1882</v>
      </c>
      <c r="B3414" s="18" t="str">
        <f ca="1">IFERROR(__xludf.DUMMYFUNCTION("GOOGLETRANSLATE(C6596,""en"",""hr"")"),"Poluga za rastavljanje injektora")</f>
        <v>Poluga za rastavljanje injektora</v>
      </c>
    </row>
    <row r="3415" spans="1:2" x14ac:dyDescent="0.2">
      <c r="A3415" s="21" t="s">
        <v>1883</v>
      </c>
      <c r="B3415" s="18" t="str">
        <f ca="1">IFERROR(__xludf.DUMMYFUNCTION("GOOGLETRANSLATE(C6597,""en"",""hr"")"),"Ključ za injekcijsku liniju")</f>
        <v>Ključ za injekcijsku liniju</v>
      </c>
    </row>
    <row r="3416" spans="1:2" x14ac:dyDescent="0.2">
      <c r="A3416" s="21" t="s">
        <v>1884</v>
      </c>
      <c r="B3416" s="18" t="str">
        <f ca="1">IFERROR(__xludf.DUMMYFUNCTION("GOOGLETRANSLATE(C6598,""en"",""hr"")"),"Adapter za ispitivanje tlaka kompresije")</f>
        <v>Adapter za ispitivanje tlaka kompresije</v>
      </c>
    </row>
    <row r="3417" spans="1:2" x14ac:dyDescent="0.2">
      <c r="A3417" s="21" t="s">
        <v>1869</v>
      </c>
      <c r="B3417" s="18" t="str">
        <f ca="1">IFERROR(__xludf.DUMMYFUNCTION("GOOGLETRANSLATE(C6582,""en"",""hr"")"),"Mjerni adapter")</f>
        <v>Mjerni adapter</v>
      </c>
    </row>
    <row r="3418" spans="1:2" x14ac:dyDescent="0.2">
      <c r="A3418" s="21" t="s">
        <v>1870</v>
      </c>
      <c r="B3418" s="18" t="str">
        <f ca="1">IFERROR(__xludf.DUMMYFUNCTION("GOOGLETRANSLATE(C6583,""en"",""hr"")"),"Mjerač izolacije")</f>
        <v>Mjerač izolacije</v>
      </c>
    </row>
    <row r="3419" spans="1:2" x14ac:dyDescent="0.2">
      <c r="A3419" s="21" t="s">
        <v>1872</v>
      </c>
      <c r="B3419" s="18" t="str">
        <f ca="1">IFERROR(__xludf.DUMMYFUNCTION("GOOGLETRANSLATE(C6585,""en"",""hr"")"),"Softver za dijagnostiku baterije")</f>
        <v>Softver za dijagnostiku baterije</v>
      </c>
    </row>
    <row r="3420" spans="1:2" x14ac:dyDescent="0.2">
      <c r="A3420" s="21" t="s">
        <v>589</v>
      </c>
      <c r="B3420" s="18" t="str">
        <f ca="1">IFERROR(__xludf.DUMMYFUNCTION("GOOGLETRANSLATE(C1719,""en"",""hr"")"),"Podloška za zaključavanje")</f>
        <v>Podloška za zaključavanje</v>
      </c>
    </row>
    <row r="3421" spans="1:2" x14ac:dyDescent="0.2">
      <c r="A3421" s="21" t="s">
        <v>169</v>
      </c>
      <c r="B3421" s="18" t="str">
        <f ca="1">IFERROR(__xludf.DUMMYFUNCTION("GOOGLETRANSLATE(C325,""en"",""hr"")"),"Podloška za zaključavanje")</f>
        <v>Podloška za zaključavanje</v>
      </c>
    </row>
    <row r="3422" spans="1:2" x14ac:dyDescent="0.2">
      <c r="A3422" s="21" t="s">
        <v>547</v>
      </c>
      <c r="B3422" s="18" t="str">
        <f ca="1">IFERROR(__xludf.DUMMYFUNCTION("GOOGLETRANSLATE(C1463,""en"",""hr"")"),"Opružna podloška")</f>
        <v>Opružna podloška</v>
      </c>
    </row>
    <row r="3423" spans="1:2" x14ac:dyDescent="0.2">
      <c r="A3423" s="21" t="s">
        <v>940</v>
      </c>
      <c r="B3423" s="18" t="str">
        <f ca="1">IFERROR(__xludf.DUMMYFUNCTION("GOOGLETRANSLATE(C2866,""en"",""hr"")"),"Podloška za zaključavanje")</f>
        <v>Podloška za zaključavanje</v>
      </c>
    </row>
    <row r="3424" spans="1:2" x14ac:dyDescent="0.2">
      <c r="A3424" s="21" t="s">
        <v>276</v>
      </c>
      <c r="B3424" s="18" t="str">
        <f ca="1">IFERROR(__xludf.DUMMYFUNCTION("GOOGLETRANSLATE(C607,""en"",""hr"")"),"Podloška za zaključavanje")</f>
        <v>Podloška za zaključavanje</v>
      </c>
    </row>
    <row r="3425" spans="1:2" x14ac:dyDescent="0.2">
      <c r="A3425" s="21" t="s">
        <v>1720</v>
      </c>
      <c r="B3425" s="18" t="str">
        <f ca="1">IFERROR(__xludf.DUMMYFUNCTION("GOOGLETRANSLATE(C5973,""en"",""hr"")"),"Podloška za zaključavanje")</f>
        <v>Podloška za zaključavanje</v>
      </c>
    </row>
    <row r="3426" spans="1:2" x14ac:dyDescent="0.2">
      <c r="A3426" s="21" t="s">
        <v>399</v>
      </c>
      <c r="B3426" s="18" t="str">
        <f ca="1">IFERROR(__xludf.DUMMYFUNCTION("GOOGLETRANSLATE(C940,""en"",""hr"")"),"Podloška za zaključavanje")</f>
        <v>Podloška za zaključavanje</v>
      </c>
    </row>
    <row r="3427" spans="1:2" x14ac:dyDescent="0.2">
      <c r="A3427" s="21" t="s">
        <v>782</v>
      </c>
      <c r="B3427" s="18" t="str">
        <f ca="1">IFERROR(__xludf.DUMMYFUNCTION("GOOGLETRANSLATE(C2412,""en"",""hr"")"),"Podloška za zaključavanje")</f>
        <v>Podloška za zaključavanje</v>
      </c>
    </row>
    <row r="3428" spans="1:2" x14ac:dyDescent="0.2">
      <c r="A3428" s="21" t="s">
        <v>848</v>
      </c>
      <c r="B3428" s="18" t="str">
        <f ca="1">IFERROR(__xludf.DUMMYFUNCTION("GOOGLETRANSLATE(C2511,""en"",""hr"")"),"Podloška za zaključavanje")</f>
        <v>Podloška za zaključavanje</v>
      </c>
    </row>
    <row r="3429" spans="1:2" x14ac:dyDescent="0.2">
      <c r="A3429" s="21" t="s">
        <v>917</v>
      </c>
      <c r="B3429" s="18" t="str">
        <f ca="1">IFERROR(__xludf.DUMMYFUNCTION("GOOGLETRANSLATE(C2755,""en"",""hr"")"),"Podloška za zaključavanje")</f>
        <v>Podloška za zaključavanje</v>
      </c>
    </row>
    <row r="3430" spans="1:2" x14ac:dyDescent="0.2">
      <c r="A3430" s="21" t="s">
        <v>932</v>
      </c>
      <c r="B3430" s="18" t="str">
        <f ca="1">IFERROR(__xludf.DUMMYFUNCTION("GOOGLETRANSLATE(C2840,""en"",""hr"")"),"Podloška za zaključavanje")</f>
        <v>Podloška za zaključavanje</v>
      </c>
    </row>
    <row r="3431" spans="1:2" x14ac:dyDescent="0.2">
      <c r="A3431" s="21" t="s">
        <v>926</v>
      </c>
      <c r="B3431" s="18" t="str">
        <f ca="1">IFERROR(__xludf.DUMMYFUNCTION("GOOGLETRANSLATE(C2781,""en"",""hr"")"),"Konusna opružna podloška")</f>
        <v>Konusna opružna podloška</v>
      </c>
    </row>
    <row r="3432" spans="1:2" x14ac:dyDescent="0.2">
      <c r="A3432" s="21" t="s">
        <v>639</v>
      </c>
      <c r="B3432" s="18" t="str">
        <f ca="1">IFERROR(__xludf.DUMMYFUNCTION("GOOGLETRANSLATE(C1967,""en"",""hr"")"),"Zakretni zatik")</f>
        <v>Zakretni zatik</v>
      </c>
    </row>
    <row r="3433" spans="1:2" x14ac:dyDescent="0.2">
      <c r="A3433" s="21" t="s">
        <v>2028</v>
      </c>
      <c r="B3433" s="18" t="str">
        <f ca="1">IFERROR(__xludf.DUMMYFUNCTION("GOOGLETRANSLATE(C6869,""en"",""hr"")"),"Retrofit Bucher Connect CityCat V20 / VS20 - baza")</f>
        <v>Retrofit Bucher Connect CityCat V20 / VS20 - baza</v>
      </c>
    </row>
    <row r="3434" spans="1:2" x14ac:dyDescent="0.2">
      <c r="A3434" s="21" t="s">
        <v>1957</v>
      </c>
      <c r="B3434" s="18" t="str">
        <f ca="1">IFERROR(__xludf.DUMMYFUNCTION("GOOGLETRANSLATE(C6721,""en"",""hr"")"),"Ručni CityCat V20/VS20 (bugarski)")</f>
        <v>Ručni CityCat V20/VS20 (bugarski)</v>
      </c>
    </row>
    <row r="3435" spans="1:2" x14ac:dyDescent="0.2">
      <c r="A3435" s="21" t="s">
        <v>1954</v>
      </c>
      <c r="B3435" s="18" t="str">
        <f ca="1">IFERROR(__xludf.DUMMYFUNCTION("GOOGLETRANSLATE(C6718,""en"",""hr"")"),"Ručni CityCat V20/VS20 (češki)")</f>
        <v>Ručni CityCat V20/VS20 (češki)</v>
      </c>
    </row>
    <row r="3436" spans="1:2" x14ac:dyDescent="0.2">
      <c r="A3436" s="21" t="s">
        <v>1940</v>
      </c>
      <c r="B3436" s="18" t="str">
        <f ca="1">IFERROR(__xludf.DUMMYFUNCTION("GOOGLETRANSLATE(C6704,""en"",""hr"")"),"Ručni CityCat V20/VS20 (danski)")</f>
        <v>Ručni CityCat V20/VS20 (danski)</v>
      </c>
    </row>
    <row r="3437" spans="1:2" x14ac:dyDescent="0.2">
      <c r="A3437" s="21" t="s">
        <v>1926</v>
      </c>
      <c r="B3437" s="18" t="str">
        <f ca="1">IFERROR(__xludf.DUMMYFUNCTION("GOOGLETRANSLATE(C6690,""en"",""hr"")"),"Priručnik za uporabu njemački")</f>
        <v>Priručnik za uporabu njemački</v>
      </c>
    </row>
    <row r="3438" spans="1:2" x14ac:dyDescent="0.2">
      <c r="A3438" s="21" t="s">
        <v>1958</v>
      </c>
      <c r="B3438" s="18" t="str">
        <f ca="1">IFERROR(__xludf.DUMMYFUNCTION("GOOGLETRANSLATE(C6722,""en"",""hr"")"),"Ručni CityCat V20/VS20 (grčki)")</f>
        <v>Ručni CityCat V20/VS20 (grčki)</v>
      </c>
    </row>
    <row r="3439" spans="1:2" x14ac:dyDescent="0.2">
      <c r="A3439" s="21" t="s">
        <v>1928</v>
      </c>
      <c r="B3439" s="18" t="str">
        <f ca="1">IFERROR(__xludf.DUMMYFUNCTION("GOOGLETRANSLATE(C6692,""en"",""hr"")"),"Priručnik za rad na engleskom")</f>
        <v>Priručnik za rad na engleskom</v>
      </c>
    </row>
    <row r="3440" spans="1:2" x14ac:dyDescent="0.2">
      <c r="A3440" s="21" t="s">
        <v>1936</v>
      </c>
      <c r="B3440" s="18" t="str">
        <f ca="1">IFERROR(__xludf.DUMMYFUNCTION("GOOGLETRANSLATE(C6700,""en"",""hr"")"),"Upute za uporabu španjolski")</f>
        <v>Upute za uporabu španjolski</v>
      </c>
    </row>
    <row r="3441" spans="1:2" x14ac:dyDescent="0.2">
      <c r="A3441" s="21" t="s">
        <v>1942</v>
      </c>
      <c r="B3441" s="18" t="str">
        <f ca="1">IFERROR(__xludf.DUMMYFUNCTION("GOOGLETRANSLATE(C6706,""en"",""hr"")"),"Upute za uporabu finski")</f>
        <v>Upute za uporabu finski</v>
      </c>
    </row>
    <row r="3442" spans="1:2" x14ac:dyDescent="0.2">
      <c r="A3442" s="21" t="s">
        <v>1932</v>
      </c>
      <c r="B3442" s="18" t="str">
        <f ca="1">IFERROR(__xludf.DUMMYFUNCTION("GOOGLETRANSLATE(C6696,""en"",""hr"")"),"Priručnik za uporabu francuski")</f>
        <v>Priručnik za uporabu francuski</v>
      </c>
    </row>
    <row r="3443" spans="1:2" x14ac:dyDescent="0.2">
      <c r="A3443" s="21" t="s">
        <v>1956</v>
      </c>
      <c r="B3443" s="18" t="str">
        <f ca="1">IFERROR(__xludf.DUMMYFUNCTION("GOOGLETRANSLATE(C6720,""en"",""hr"")"),"Ručni CityCat V20/VS20 (hrvatski)")</f>
        <v>Ručni CityCat V20/VS20 (hrvatski)</v>
      </c>
    </row>
    <row r="3444" spans="1:2" x14ac:dyDescent="0.2">
      <c r="A3444" s="21" t="s">
        <v>1934</v>
      </c>
      <c r="B3444" s="18" t="str">
        <f ca="1">IFERROR(__xludf.DUMMYFUNCTION("GOOGLETRANSLATE(C6698,""en"",""hr"")"),"Priručnik za uporabu na talijanskom")</f>
        <v>Priručnik za uporabu na talijanskom</v>
      </c>
    </row>
    <row r="3445" spans="1:2" x14ac:dyDescent="0.2">
      <c r="A3445" s="21" t="s">
        <v>1962</v>
      </c>
      <c r="B3445" s="18" t="str">
        <f ca="1">IFERROR(__xludf.DUMMYFUNCTION("GOOGLETRANSLATE(C6726,""en"",""hr"")"),"Ručni CityCat V20/VS20 (latvijski)")</f>
        <v>Ručni CityCat V20/VS20 (latvijski)</v>
      </c>
    </row>
    <row r="3446" spans="1:2" x14ac:dyDescent="0.2">
      <c r="A3446" s="21" t="s">
        <v>1944</v>
      </c>
      <c r="B3446" s="18" t="str">
        <f ca="1">IFERROR(__xludf.DUMMYFUNCTION("GOOGLETRANSLATE(C6708,""en"",""hr"")"),"Nizozemski priručnik za uporabu")</f>
        <v>Nizozemski priručnik za uporabu</v>
      </c>
    </row>
    <row r="3447" spans="1:2" x14ac:dyDescent="0.2">
      <c r="A3447" s="21" t="s">
        <v>1946</v>
      </c>
      <c r="B3447" s="18" t="str">
        <f ca="1">IFERROR(__xludf.DUMMYFUNCTION("GOOGLETRANSLATE(C6710,""en"",""hr"")"),"Priručnik za rukovanje")</f>
        <v>Priručnik za rukovanje</v>
      </c>
    </row>
    <row r="3448" spans="1:2" x14ac:dyDescent="0.2">
      <c r="A3448" s="21" t="s">
        <v>1950</v>
      </c>
      <c r="B3448" s="18" t="str">
        <f ca="1">IFERROR(__xludf.DUMMYFUNCTION("GOOGLETRANSLATE(C6714,""en"",""hr"")"),"Priručnik za uporabu portugalski")</f>
        <v>Priručnik za uporabu portugalski</v>
      </c>
    </row>
    <row r="3449" spans="1:2" x14ac:dyDescent="0.2">
      <c r="A3449" s="21" t="s">
        <v>1959</v>
      </c>
      <c r="B3449" s="18" t="str">
        <f ca="1">IFERROR(__xludf.DUMMYFUNCTION("GOOGLETRANSLATE(C6723,""en"",""hr"")"),"Ručni CityCat V20/VS20 (rumunjski)")</f>
        <v>Ručni CityCat V20/VS20 (rumunjski)</v>
      </c>
    </row>
    <row r="3450" spans="1:2" x14ac:dyDescent="0.2">
      <c r="A3450" s="21" t="s">
        <v>1948</v>
      </c>
      <c r="B3450" s="18" t="str">
        <f ca="1">IFERROR(__xludf.DUMMYFUNCTION("GOOGLETRANSLATE(C6712,""en"",""hr"")"),"Ručni CityCat V20/VS20 (ruski)")</f>
        <v>Ručni CityCat V20/VS20 (ruski)</v>
      </c>
    </row>
    <row r="3451" spans="1:2" x14ac:dyDescent="0.2">
      <c r="A3451" s="21" t="s">
        <v>1960</v>
      </c>
      <c r="B3451" s="18" t="str">
        <f ca="1">IFERROR(__xludf.DUMMYFUNCTION("GOOGLETRANSLATE(C6724,""en"",""hr"")"),"Ručni CityCat V20/VS20 (slovenski)")</f>
        <v>Ručni CityCat V20/VS20 (slovenski)</v>
      </c>
    </row>
    <row r="3452" spans="1:2" x14ac:dyDescent="0.2">
      <c r="A3452" s="21" t="s">
        <v>1952</v>
      </c>
      <c r="B3452" s="18" t="str">
        <f ca="1">IFERROR(__xludf.DUMMYFUNCTION("GOOGLETRANSLATE(C6716,""en"",""hr"")"),"Priručnik za uporabu švedski")</f>
        <v>Priručnik za uporabu švedski</v>
      </c>
    </row>
    <row r="3453" spans="1:2" x14ac:dyDescent="0.2">
      <c r="A3453" s="21" t="s">
        <v>1963</v>
      </c>
      <c r="B3453" s="18" t="str">
        <f ca="1">IFERROR(__xludf.DUMMYFUNCTION("GOOGLETRANSLATE(C6727,""en"",""hr"")"),"Priručnik za rukovanje")</f>
        <v>Priručnik za rukovanje</v>
      </c>
    </row>
    <row r="3454" spans="1:2" x14ac:dyDescent="0.2">
      <c r="A3454" s="21" t="s">
        <v>1965</v>
      </c>
      <c r="B3454" s="18" t="str">
        <f ca="1">IFERROR(__xludf.DUMMYFUNCTION("GOOGLETRANSLATE(C6729,""en"",""hr"")"),"Ručni CityCat V20/VS20 (kineski)")</f>
        <v>Ručni CityCat V20/VS20 (kineski)</v>
      </c>
    </row>
    <row r="3455" spans="1:2" x14ac:dyDescent="0.2">
      <c r="A3455" s="21" t="s">
        <v>1930</v>
      </c>
      <c r="B3455" s="18" t="str">
        <f ca="1">IFERROR(__xludf.DUMMYFUNCTION("GOOGLETRANSLATE(C6694,""en"",""hr"")"),"Priručnik za rad na engleskom")</f>
        <v>Priručnik za rad na engleskom</v>
      </c>
    </row>
    <row r="3456" spans="1:2" x14ac:dyDescent="0.2">
      <c r="A3456" s="21" t="s">
        <v>1938</v>
      </c>
      <c r="B3456" s="18" t="str">
        <f ca="1">IFERROR(__xludf.DUMMYFUNCTION("GOOGLETRANSLATE(C6702,""en"",""hr"")"),"Upute za uporabu španjolski")</f>
        <v>Upute za uporabu španjolski</v>
      </c>
    </row>
    <row r="3457" spans="1:2" x14ac:dyDescent="0.2">
      <c r="A3457" s="21" t="s">
        <v>1953</v>
      </c>
      <c r="B3457" s="18" t="str">
        <f ca="1">IFERROR(__xludf.DUMMYFUNCTION("GOOGLETRANSLATE(C6717,""en"",""hr"")"),"Ručni CityCat V20e/VS20e (češki)")</f>
        <v>Ručni CityCat V20e/VS20e (češki)</v>
      </c>
    </row>
    <row r="3458" spans="1:2" x14ac:dyDescent="0.2">
      <c r="A3458" s="21" t="s">
        <v>1939</v>
      </c>
      <c r="B3458" s="18" t="str">
        <f ca="1">IFERROR(__xludf.DUMMYFUNCTION("GOOGLETRANSLATE(C6703,""en"",""hr"")"),"Danski priručnik za uporabu")</f>
        <v>Danski priručnik za uporabu</v>
      </c>
    </row>
    <row r="3459" spans="1:2" x14ac:dyDescent="0.2">
      <c r="A3459" s="21" t="s">
        <v>1925</v>
      </c>
      <c r="B3459" s="18" t="str">
        <f ca="1">IFERROR(__xludf.DUMMYFUNCTION("GOOGLETRANSLATE(C6689,""en"",""hr"")"),"Priručnik za uporabu njemački")</f>
        <v>Priručnik za uporabu njemački</v>
      </c>
    </row>
    <row r="3460" spans="1:2" x14ac:dyDescent="0.2">
      <c r="A3460" s="21" t="s">
        <v>1927</v>
      </c>
      <c r="B3460" s="18" t="str">
        <f ca="1">IFERROR(__xludf.DUMMYFUNCTION("GOOGLETRANSLATE(C6691,""en"",""hr"")"),"Priručnik za rad na engleskom")</f>
        <v>Priručnik za rad na engleskom</v>
      </c>
    </row>
    <row r="3461" spans="1:2" x14ac:dyDescent="0.2">
      <c r="A3461" s="21" t="s">
        <v>1935</v>
      </c>
      <c r="B3461" s="18" t="str">
        <f ca="1">IFERROR(__xludf.DUMMYFUNCTION("GOOGLETRANSLATE(C6699,""en"",""hr"")"),"Upute za uporabu španjolski")</f>
        <v>Upute za uporabu španjolski</v>
      </c>
    </row>
    <row r="3462" spans="1:2" x14ac:dyDescent="0.2">
      <c r="A3462" s="21" t="s">
        <v>1941</v>
      </c>
      <c r="B3462" s="18" t="str">
        <f ca="1">IFERROR(__xludf.DUMMYFUNCTION("GOOGLETRANSLATE(C6705,""en"",""hr"")"),"Upute za uporabu finski")</f>
        <v>Upute za uporabu finski</v>
      </c>
    </row>
    <row r="3463" spans="1:2" x14ac:dyDescent="0.2">
      <c r="A3463" s="21" t="s">
        <v>1931</v>
      </c>
      <c r="B3463" s="18" t="str">
        <f ca="1">IFERROR(__xludf.DUMMYFUNCTION("GOOGLETRANSLATE(C6695,""en"",""hr"")"),"Priručnik za uporabu francuski")</f>
        <v>Priručnik za uporabu francuski</v>
      </c>
    </row>
    <row r="3464" spans="1:2" x14ac:dyDescent="0.2">
      <c r="A3464" s="21" t="s">
        <v>1955</v>
      </c>
      <c r="B3464" s="18" t="str">
        <f ca="1">IFERROR(__xludf.DUMMYFUNCTION("GOOGLETRANSLATE(C6719,""en"",""hr"")"),"Ručni CityCat V20e/VS20e (hrvatski)")</f>
        <v>Ručni CityCat V20e/VS20e (hrvatski)</v>
      </c>
    </row>
    <row r="3465" spans="1:2" x14ac:dyDescent="0.2">
      <c r="A3465" s="21" t="s">
        <v>1933</v>
      </c>
      <c r="B3465" s="18" t="str">
        <f ca="1">IFERROR(__xludf.DUMMYFUNCTION("GOOGLETRANSLATE(C6697,""en"",""hr"")"),"Priručnik za uporabu na talijanskom")</f>
        <v>Priručnik za uporabu na talijanskom</v>
      </c>
    </row>
    <row r="3466" spans="1:2" x14ac:dyDescent="0.2">
      <c r="A3466" s="21" t="s">
        <v>1961</v>
      </c>
      <c r="B3466" s="18" t="str">
        <f ca="1">IFERROR(__xludf.DUMMYFUNCTION("GOOGLETRANSLATE(C6725,""en"",""hr"")"),"Ručni CityCat V20e/VS20e (litvanski)")</f>
        <v>Ručni CityCat V20e/VS20e (litvanski)</v>
      </c>
    </row>
    <row r="3467" spans="1:2" x14ac:dyDescent="0.2">
      <c r="A3467" s="21" t="s">
        <v>1943</v>
      </c>
      <c r="B3467" s="18" t="str">
        <f ca="1">IFERROR(__xludf.DUMMYFUNCTION("GOOGLETRANSLATE(C6707,""en"",""hr"")"),"Nizozemski priručnik za uporabu")</f>
        <v>Nizozemski priručnik za uporabu</v>
      </c>
    </row>
    <row r="3468" spans="1:2" x14ac:dyDescent="0.2">
      <c r="A3468" s="21" t="s">
        <v>1945</v>
      </c>
      <c r="B3468" s="18" t="str">
        <f ca="1">IFERROR(__xludf.DUMMYFUNCTION("GOOGLETRANSLATE(C6709,""en"",""hr"")"),"Norveški priručnik za rad")</f>
        <v>Norveški priručnik za rad</v>
      </c>
    </row>
    <row r="3469" spans="1:2" x14ac:dyDescent="0.2">
      <c r="A3469" s="21" t="s">
        <v>1949</v>
      </c>
      <c r="B3469" s="18" t="str">
        <f ca="1">IFERROR(__xludf.DUMMYFUNCTION("GOOGLETRANSLATE(C6713,""en"",""hr"")"),"Ručni CityCat V20e/VS20e (portugalski)")</f>
        <v>Ručni CityCat V20e/VS20e (portugalski)</v>
      </c>
    </row>
    <row r="3470" spans="1:2" x14ac:dyDescent="0.2">
      <c r="A3470" s="21" t="s">
        <v>1947</v>
      </c>
      <c r="B3470" s="18" t="str">
        <f ca="1">IFERROR(__xludf.DUMMYFUNCTION("GOOGLETRANSLATE(C6711,""en"",""hr"")"),"Ručni priručnik za uporabu")</f>
        <v>Ručni priručnik za uporabu</v>
      </c>
    </row>
    <row r="3471" spans="1:2" x14ac:dyDescent="0.2">
      <c r="A3471" s="21" t="s">
        <v>1951</v>
      </c>
      <c r="B3471" s="18" t="str">
        <f ca="1">IFERROR(__xludf.DUMMYFUNCTION("GOOGLETRANSLATE(C6715,""en"",""hr"")"),"Priručnik za uporabu švedski")</f>
        <v>Priručnik za uporabu švedski</v>
      </c>
    </row>
    <row r="3472" spans="1:2" x14ac:dyDescent="0.2">
      <c r="A3472" s="21" t="s">
        <v>1964</v>
      </c>
      <c r="B3472" s="18" t="str">
        <f ca="1">IFERROR(__xludf.DUMMYFUNCTION("GOOGLETRANSLATE(C6728,""en"",""hr"")"),"Ručni CityCat V20e/VS20e (kineski)")</f>
        <v>Ručni CityCat V20e/VS20e (kineski)</v>
      </c>
    </row>
    <row r="3473" spans="1:2" x14ac:dyDescent="0.2">
      <c r="A3473" s="21" t="s">
        <v>1929</v>
      </c>
      <c r="B3473" s="18" t="str">
        <f ca="1">IFERROR(__xludf.DUMMYFUNCTION("GOOGLETRANSLATE(C6693,""en"",""hr"")"),"Priručnik za rad na engleskom")</f>
        <v>Priručnik za rad na engleskom</v>
      </c>
    </row>
    <row r="3474" spans="1:2" x14ac:dyDescent="0.2">
      <c r="A3474" s="21" t="s">
        <v>1937</v>
      </c>
      <c r="B3474" s="18" t="str">
        <f ca="1">IFERROR(__xludf.DUMMYFUNCTION("GOOGLETRANSLATE(C6701,""en"",""hr"")"),"Upute za uporabu španjolski")</f>
        <v>Upute za uporabu španjolski</v>
      </c>
    </row>
    <row r="3475" spans="1:2" x14ac:dyDescent="0.2">
      <c r="A3475" s="21" t="s">
        <v>1998</v>
      </c>
      <c r="B3475" s="18" t="str">
        <f ca="1">IFERROR(__xludf.DUMMYFUNCTION("GOOGLETRANSLATE(C6762,""en"",""hr"")"),"Ručni CityCat V20/VS20 Zima")</f>
        <v>Ručni CityCat V20/VS20 Zima</v>
      </c>
    </row>
    <row r="3476" spans="1:2" x14ac:dyDescent="0.2">
      <c r="A3476" s="21" t="s">
        <v>1996</v>
      </c>
      <c r="B3476" s="18" t="str">
        <f ca="1">IFERROR(__xludf.DUMMYFUNCTION("GOOGLETRANSLATE(C6760,""en"",""hr"")"),"Ručni CityCat V20/VS20 Zima")</f>
        <v>Ručni CityCat V20/VS20 Zima</v>
      </c>
    </row>
    <row r="3477" spans="1:2" x14ac:dyDescent="0.2">
      <c r="A3477" s="21" t="s">
        <v>1997</v>
      </c>
      <c r="B3477" s="18" t="str">
        <f ca="1">IFERROR(__xludf.DUMMYFUNCTION("GOOGLETRANSLATE(C6761,""en"",""hr"")"),"Ručni CityCat V20/VS20 Zima")</f>
        <v>Ručni CityCat V20/VS20 Zima</v>
      </c>
    </row>
    <row r="3478" spans="1:2" x14ac:dyDescent="0.2">
      <c r="A3478" s="21" t="s">
        <v>1999</v>
      </c>
      <c r="B3478" s="18" t="str">
        <f ca="1">IFERROR(__xludf.DUMMYFUNCTION("GOOGLETRANSLATE(C6763,""en"",""hr"")"),"Ručni CityCat V20/VS20 Winter (latvijski)")</f>
        <v>Ručni CityCat V20/VS20 Winter (latvijski)</v>
      </c>
    </row>
    <row r="3479" spans="1:2" x14ac:dyDescent="0.2">
      <c r="A3479" s="21" t="s">
        <v>1991</v>
      </c>
      <c r="B3479" s="18" t="str">
        <f ca="1">IFERROR(__xludf.DUMMYFUNCTION("GOOGLETRANSLATE(C6755,""en"",""hr"")"),"Katalog rezervnih dijelova")</f>
        <v>Katalog rezervnih dijelova</v>
      </c>
    </row>
    <row r="3480" spans="1:2" x14ac:dyDescent="0.2">
      <c r="A3480" s="21" t="s">
        <v>1992</v>
      </c>
      <c r="B3480" s="18" t="str">
        <f ca="1">IFERROR(__xludf.DUMMYFUNCTION("GOOGLETRANSLATE(C6756,""en"",""hr"")"),"Katalog rezervnih dijelova")</f>
        <v>Katalog rezervnih dijelova</v>
      </c>
    </row>
    <row r="3481" spans="1:2" x14ac:dyDescent="0.2">
      <c r="A3481" s="21" t="s">
        <v>1995</v>
      </c>
      <c r="B3481" s="18" t="str">
        <f ca="1">IFERROR(__xludf.DUMMYFUNCTION("GOOGLETRANSLATE(C6759,""en"",""hr"")"),"Katalog rezervnih dijelova")</f>
        <v>Katalog rezervnih dijelova</v>
      </c>
    </row>
    <row r="3482" spans="1:2" x14ac:dyDescent="0.2">
      <c r="A3482" s="21" t="s">
        <v>1993</v>
      </c>
      <c r="B3482" s="18" t="str">
        <f ca="1">IFERROR(__xludf.DUMMYFUNCTION("GOOGLETRANSLATE(C6757,""en"",""hr"")"),"Katalog rezervnih dijelova")</f>
        <v>Katalog rezervnih dijelova</v>
      </c>
    </row>
    <row r="3483" spans="1:2" x14ac:dyDescent="0.2">
      <c r="A3483" s="21" t="s">
        <v>1994</v>
      </c>
      <c r="B3483" s="18" t="str">
        <f ca="1">IFERROR(__xludf.DUMMYFUNCTION("GOOGLETRANSLATE(C6758,""en"",""hr"")"),"Katalog rezervnih dijelova")</f>
        <v>Katalog rezervnih dijelova</v>
      </c>
    </row>
    <row r="3484" spans="1:2" x14ac:dyDescent="0.2">
      <c r="A3484" s="21" t="s">
        <v>1976</v>
      </c>
      <c r="B3484" s="18" t="str">
        <f ca="1">IFERROR(__xludf.DUMMYFUNCTION("GOOGLETRANSLATE(C6740,""en"",""hr"")"),"Podaci o spašavanju danski")</f>
        <v>Podaci o spašavanju danski</v>
      </c>
    </row>
    <row r="3485" spans="1:2" x14ac:dyDescent="0.2">
      <c r="A3485" s="21" t="s">
        <v>1966</v>
      </c>
      <c r="B3485" s="18" t="str">
        <f ca="1">IFERROR(__xludf.DUMMYFUNCTION("GOOGLETRANSLATE(C6730,""en"",""hr"")"),"Podaci o spašavanju engleski")</f>
        <v>Podaci o spašavanju engleski</v>
      </c>
    </row>
    <row r="3486" spans="1:2" x14ac:dyDescent="0.2">
      <c r="A3486" s="21" t="s">
        <v>1968</v>
      </c>
      <c r="B3486" s="18" t="str">
        <f ca="1">IFERROR(__xludf.DUMMYFUNCTION("GOOGLETRANSLATE(C6732,""en"",""hr"")"),"Tehnički list spašavanja engleski")</f>
        <v>Tehnički list spašavanja engleski</v>
      </c>
    </row>
    <row r="3487" spans="1:2" x14ac:dyDescent="0.2">
      <c r="A3487" s="21" t="s">
        <v>1974</v>
      </c>
      <c r="B3487" s="18" t="str">
        <f ca="1">IFERROR(__xludf.DUMMYFUNCTION("GOOGLETRANSLATE(C6738,""en"",""hr"")"),"Spasilački tehnički list na španjolskom")</f>
        <v>Spasilački tehnički list na španjolskom</v>
      </c>
    </row>
    <row r="3488" spans="1:2" x14ac:dyDescent="0.2">
      <c r="A3488" s="21" t="s">
        <v>1978</v>
      </c>
      <c r="B3488" s="18" t="str">
        <f ca="1">IFERROR(__xludf.DUMMYFUNCTION("GOOGLETRANSLATE(C6742,""en"",""hr"")"),"Finski list s podacima o spašavanju")</f>
        <v>Finski list s podacima o spašavanju</v>
      </c>
    </row>
    <row r="3489" spans="1:2" x14ac:dyDescent="0.2">
      <c r="A3489" s="21" t="s">
        <v>1970</v>
      </c>
      <c r="B3489" s="18" t="str">
        <f ca="1">IFERROR(__xludf.DUMMYFUNCTION("GOOGLETRANSLATE(C6734,""en"",""hr"")"),"Tehnički list spašavanja na francuskom")</f>
        <v>Tehnički list spašavanja na francuskom</v>
      </c>
    </row>
    <row r="3490" spans="1:2" x14ac:dyDescent="0.2">
      <c r="A3490" s="21" t="s">
        <v>1972</v>
      </c>
      <c r="B3490" s="18" t="str">
        <f ca="1">IFERROR(__xludf.DUMMYFUNCTION("GOOGLETRANSLATE(C6736,""en"",""hr"")"),"Tehnički list spašavanja na talijanskom")</f>
        <v>Tehnički list spašavanja na talijanskom</v>
      </c>
    </row>
    <row r="3491" spans="1:2" x14ac:dyDescent="0.2">
      <c r="A3491" s="21" t="s">
        <v>1984</v>
      </c>
      <c r="B3491" s="18" t="str">
        <f ca="1">IFERROR(__xludf.DUMMYFUNCTION("GOOGLETRANSLATE(C6748,""en"",""hr"")"),"List s podacima o spašavanju CCV20e")</f>
        <v>List s podacima o spašavanju CCV20e</v>
      </c>
    </row>
    <row r="3492" spans="1:2" x14ac:dyDescent="0.2">
      <c r="A3492" s="21" t="s">
        <v>1980</v>
      </c>
      <c r="B3492" s="18" t="str">
        <f ca="1">IFERROR(__xludf.DUMMYFUNCTION("GOOGLETRANSLATE(C6744,""en"",""hr"")"),"Nizozemski list s podacima o spašavanju")</f>
        <v>Nizozemski list s podacima o spašavanju</v>
      </c>
    </row>
    <row r="3493" spans="1:2" x14ac:dyDescent="0.2">
      <c r="A3493" s="21" t="s">
        <v>1982</v>
      </c>
      <c r="B3493" s="18" t="str">
        <f ca="1">IFERROR(__xludf.DUMMYFUNCTION("GOOGLETRANSLATE(C6746,""en"",""hr"")"),"Norveški list s podacima o spašavanju")</f>
        <v>Norveški list s podacima o spašavanju</v>
      </c>
    </row>
    <row r="3494" spans="1:2" x14ac:dyDescent="0.2">
      <c r="A3494" s="21" t="s">
        <v>1986</v>
      </c>
      <c r="B3494" s="18" t="str">
        <f ca="1">IFERROR(__xludf.DUMMYFUNCTION("GOOGLETRANSLATE(C6750,""en"",""hr"")"),"Rescue tehnički list ruski")</f>
        <v>Rescue tehnički list ruski</v>
      </c>
    </row>
    <row r="3495" spans="1:2" x14ac:dyDescent="0.2">
      <c r="A3495" s="21" t="s">
        <v>1988</v>
      </c>
      <c r="B3495" s="18" t="str">
        <f ca="1">IFERROR(__xludf.DUMMYFUNCTION("GOOGLETRANSLATE(C6752,""en"",""hr"")"),"Tehnički list spašavanja na švedskom")</f>
        <v>Tehnički list spašavanja na švedskom</v>
      </c>
    </row>
    <row r="3496" spans="1:2" x14ac:dyDescent="0.2">
      <c r="A3496" s="21" t="s">
        <v>1977</v>
      </c>
      <c r="B3496" s="18" t="str">
        <f ca="1">IFERROR(__xludf.DUMMYFUNCTION("GOOGLETRANSLATE(C6741,""en"",""hr"")"),"List s podacima o spašavanju V20e/VS20e")</f>
        <v>List s podacima o spašavanju V20e/VS20e</v>
      </c>
    </row>
    <row r="3497" spans="1:2" x14ac:dyDescent="0.2">
      <c r="A3497" s="21" t="s">
        <v>1967</v>
      </c>
      <c r="B3497" s="18" t="str">
        <f ca="1">IFERROR(__xludf.DUMMYFUNCTION("GOOGLETRANSLATE(C6731,""en"",""hr"")"),"List s podacima o spašavanju V20e/VS20e")</f>
        <v>List s podacima o spašavanju V20e/VS20e</v>
      </c>
    </row>
    <row r="3498" spans="1:2" x14ac:dyDescent="0.2">
      <c r="A3498" s="21" t="s">
        <v>1969</v>
      </c>
      <c r="B3498" s="18" t="str">
        <f ca="1">IFERROR(__xludf.DUMMYFUNCTION("GOOGLETRANSLATE(C6733,""en"",""hr"")"),"List s podacima o spašavanju V20e/VS20e")</f>
        <v>List s podacima o spašavanju V20e/VS20e</v>
      </c>
    </row>
    <row r="3499" spans="1:2" x14ac:dyDescent="0.2">
      <c r="A3499" s="21" t="s">
        <v>1975</v>
      </c>
      <c r="B3499" s="18" t="str">
        <f ca="1">IFERROR(__xludf.DUMMYFUNCTION("GOOGLETRANSLATE(C6739,""en"",""hr"")"),"List s podacima o spašavanju V20e/VS20e")</f>
        <v>List s podacima o spašavanju V20e/VS20e</v>
      </c>
    </row>
    <row r="3500" spans="1:2" x14ac:dyDescent="0.2">
      <c r="A3500" s="21" t="s">
        <v>1979</v>
      </c>
      <c r="B3500" s="18" t="str">
        <f ca="1">IFERROR(__xludf.DUMMYFUNCTION("GOOGLETRANSLATE(C6743,""en"",""hr"")"),"List s podacima o spašavanju V20e/VS20e")</f>
        <v>List s podacima o spašavanju V20e/VS20e</v>
      </c>
    </row>
    <row r="3501" spans="1:2" x14ac:dyDescent="0.2">
      <c r="A3501" s="21" t="s">
        <v>1971</v>
      </c>
      <c r="B3501" s="18" t="str">
        <f ca="1">IFERROR(__xludf.DUMMYFUNCTION("GOOGLETRANSLATE(C6735,""en"",""hr"")"),"List s podacima o spašavanju V20e/VS20e")</f>
        <v>List s podacima o spašavanju V20e/VS20e</v>
      </c>
    </row>
    <row r="3502" spans="1:2" x14ac:dyDescent="0.2">
      <c r="A3502" s="21" t="s">
        <v>1973</v>
      </c>
      <c r="B3502" s="18" t="str">
        <f ca="1">IFERROR(__xludf.DUMMYFUNCTION("GOOGLETRANSLATE(C6737,""en"",""hr"")"),"List s podacima o spašavanju V20e/VS20e")</f>
        <v>List s podacima o spašavanju V20e/VS20e</v>
      </c>
    </row>
    <row r="3503" spans="1:2" x14ac:dyDescent="0.2">
      <c r="A3503" s="21" t="s">
        <v>1985</v>
      </c>
      <c r="B3503" s="18" t="str">
        <f ca="1">IFERROR(__xludf.DUMMYFUNCTION("GOOGLETRANSLATE(C6749,""en"",""hr"")"),"List s podacima o spašavanju V20e/VS20e")</f>
        <v>List s podacima o spašavanju V20e/VS20e</v>
      </c>
    </row>
    <row r="3504" spans="1:2" x14ac:dyDescent="0.2">
      <c r="A3504" s="21" t="s">
        <v>1981</v>
      </c>
      <c r="B3504" s="18" t="str">
        <f ca="1">IFERROR(__xludf.DUMMYFUNCTION("GOOGLETRANSLATE(C6745,""en"",""hr"")"),"List s podacima o spašavanju V20e/VS20e")</f>
        <v>List s podacima o spašavanju V20e/VS20e</v>
      </c>
    </row>
    <row r="3505" spans="1:2" x14ac:dyDescent="0.2">
      <c r="A3505" s="21" t="s">
        <v>1983</v>
      </c>
      <c r="B3505" s="18" t="str">
        <f ca="1">IFERROR(__xludf.DUMMYFUNCTION("GOOGLETRANSLATE(C6747,""en"",""hr"")"),"List s podacima o spašavanju V20e/VS20e")</f>
        <v>List s podacima o spašavanju V20e/VS20e</v>
      </c>
    </row>
    <row r="3506" spans="1:2" x14ac:dyDescent="0.2">
      <c r="A3506" s="21" t="s">
        <v>1990</v>
      </c>
      <c r="B3506" s="18" t="str">
        <f ca="1">IFERROR(__xludf.DUMMYFUNCTION("GOOGLETRANSLATE(C6754,""en"",""hr"")"),"List s podacima o spašavanju V20e/VS20e")</f>
        <v>List s podacima o spašavanju V20e/VS20e</v>
      </c>
    </row>
    <row r="3507" spans="1:2" x14ac:dyDescent="0.2">
      <c r="A3507" s="21" t="s">
        <v>1987</v>
      </c>
      <c r="B3507" s="18" t="str">
        <f ca="1">IFERROR(__xludf.DUMMYFUNCTION("GOOGLETRANSLATE(C6751,""en"",""hr"")"),"List s podacima o spašavanju V20e/VS20e")</f>
        <v>List s podacima o spašavanju V20e/VS20e</v>
      </c>
    </row>
    <row r="3508" spans="1:2" x14ac:dyDescent="0.2">
      <c r="A3508" s="21" t="s">
        <v>1989</v>
      </c>
      <c r="B3508" s="18" t="str">
        <f ca="1">IFERROR(__xludf.DUMMYFUNCTION("GOOGLETRANSLATE(C6753,""en"",""hr"")"),"List s podacima o spašavanju V20e/VS20e")</f>
        <v>List s podacima o spašavanju V20e/VS20e</v>
      </c>
    </row>
    <row r="3509" spans="1:2" x14ac:dyDescent="0.2">
      <c r="A3509" s="21" t="s">
        <v>78</v>
      </c>
      <c r="B3509" s="18" t="str">
        <f ca="1">IFERROR(__xludf.DUMMYFUNCTION("GOOGLETRANSLATE(C191,""en"",""hr"")"),"brtva")</f>
        <v>brtva</v>
      </c>
    </row>
    <row r="3510" spans="1:2" x14ac:dyDescent="0.2">
      <c r="A3510" s="21" t="s">
        <v>80</v>
      </c>
      <c r="B3510" s="18" t="str">
        <f ca="1">IFERROR(__xludf.DUMMYFUNCTION("GOOGLETRANSLATE(C193,""en"",""hr"")"),"Uložak filtera ulja")</f>
        <v>Uložak filtera ulja</v>
      </c>
    </row>
    <row r="3511" spans="1:2" x14ac:dyDescent="0.2">
      <c r="A3511" s="21" t="s">
        <v>113</v>
      </c>
      <c r="B3511" s="18" t="str">
        <f ca="1">IFERROR(__xludf.DUMMYFUNCTION("GOOGLETRANSLATE(C231,""en"",""hr"")"),"Čep za punjenje")</f>
        <v>Čep za punjenje</v>
      </c>
    </row>
    <row r="3512" spans="1:2" x14ac:dyDescent="0.2">
      <c r="A3512" s="21" t="s">
        <v>95</v>
      </c>
      <c r="B3512" s="18" t="str">
        <f ca="1">IFERROR(__xludf.DUMMYFUNCTION("GOOGLETRANSLATE(C211,""en"",""hr"")"),"Pumpa za vodu")</f>
        <v>Pumpa za vodu</v>
      </c>
    </row>
    <row r="3513" spans="1:2" x14ac:dyDescent="0.2">
      <c r="A3513" s="21" t="s">
        <v>118</v>
      </c>
      <c r="B3513" s="18" t="str">
        <f ca="1">IFERROR(__xludf.DUMMYFUNCTION("GOOGLETRANSLATE(C236,""en"",""hr"")"),"Povratna cijev")</f>
        <v>Povratna cijev</v>
      </c>
    </row>
    <row r="3514" spans="1:2" x14ac:dyDescent="0.2">
      <c r="A3514" s="21" t="s">
        <v>101</v>
      </c>
      <c r="B3514" s="18" t="str">
        <f ca="1">IFERROR(__xludf.DUMMYFUNCTION("GOOGLETRANSLATE(C219,""en"",""hr"")"),"Remenica klinastog remena")</f>
        <v>Remenica klinastog remena</v>
      </c>
    </row>
    <row r="3515" spans="1:2" x14ac:dyDescent="0.2">
      <c r="A3515" s="21" t="s">
        <v>98</v>
      </c>
      <c r="B3515" s="18" t="str">
        <f ca="1">IFERROR(__xludf.DUMMYFUNCTION("GOOGLETRANSLATE(C214,""en"",""hr"")"),"Remenica klinastog remena (5 utora)")</f>
        <v>Remenica klinastog remena (5 utora)</v>
      </c>
    </row>
    <row r="3516" spans="1:2" x14ac:dyDescent="0.2">
      <c r="A3516" s="21" t="s">
        <v>97</v>
      </c>
      <c r="B3516" s="18" t="str">
        <f ca="1">IFERROR(__xludf.DUMMYFUNCTION("GOOGLETRANSLATE(C213,""en"",""hr"")"),"brtva")</f>
        <v>brtva</v>
      </c>
    </row>
    <row r="3517" spans="1:2" x14ac:dyDescent="0.2">
      <c r="A3517" s="21" t="s">
        <v>483</v>
      </c>
      <c r="B3517" s="18" t="str">
        <f ca="1">IFERROR(__xludf.DUMMYFUNCTION("GOOGLETRANSLATE(C1162,""en"",""hr"")"),"brtva")</f>
        <v>brtva</v>
      </c>
    </row>
    <row r="3518" spans="1:2" x14ac:dyDescent="0.2">
      <c r="A3518" s="21" t="s">
        <v>96</v>
      </c>
      <c r="B3518" s="18" t="str">
        <f ca="1">IFERROR(__xludf.DUMMYFUNCTION("GOOGLETRANSLATE(C212,""en"",""hr"")"),"brtva")</f>
        <v>brtva</v>
      </c>
    </row>
    <row r="3519" spans="1:2" x14ac:dyDescent="0.2">
      <c r="A3519" s="21" t="s">
        <v>104</v>
      </c>
      <c r="B3519" s="18" t="str">
        <f ca="1">IFERROR(__xludf.DUMMYFUNCTION("GOOGLETRANSLATE(C222,""en"",""hr"")"),"Kolut")</f>
        <v>Kolut</v>
      </c>
    </row>
    <row r="3520" spans="1:2" x14ac:dyDescent="0.2">
      <c r="A3520" s="21" t="s">
        <v>116</v>
      </c>
      <c r="B3520" s="18" t="str">
        <f ca="1">IFERROR(__xludf.DUMMYFUNCTION("GOOGLETRANSLATE(C234,""en"",""hr"")"),"Cijev za kapanje ulja R754 EU4/EU5/EU6/ISE4 (3B)")</f>
        <v>Cijev za kapanje ulja R754 EU4/EU5/EU6/ISE4 (3B)</v>
      </c>
    </row>
    <row r="3521" spans="1:2" x14ac:dyDescent="0.2">
      <c r="A3521" s="21" t="s">
        <v>110</v>
      </c>
      <c r="B3521" s="18" t="str">
        <f ca="1">IFERROR(__xludf.DUMMYFUNCTION("GOOGLETRANSLATE(C228,""en"",""hr"")"),"Mlaznica kompl. R754/IE/ISE4/EU6")</f>
        <v>Mlaznica kompl. R754/IE/ISE4/EU6</v>
      </c>
    </row>
    <row r="3522" spans="1:2" x14ac:dyDescent="0.2">
      <c r="A3522" s="21" t="s">
        <v>128</v>
      </c>
      <c r="B3522" s="18" t="str">
        <f ca="1">IFERROR(__xludf.DUMMYFUNCTION("GOOGLETRANSLATE(C263,""en"",""hr"")"),"Sklop startera")</f>
        <v>Sklop startera</v>
      </c>
    </row>
    <row r="3523" spans="1:2" x14ac:dyDescent="0.2">
      <c r="A3523" s="21" t="s">
        <v>129</v>
      </c>
      <c r="B3523" s="18" t="str">
        <f ca="1">IFERROR(__xludf.DUMMYFUNCTION("GOOGLETRANSLATE(C264,""en"",""hr"")"),"Termostat")</f>
        <v>Termostat</v>
      </c>
    </row>
    <row r="3524" spans="1:2" x14ac:dyDescent="0.2">
      <c r="A3524" s="21" t="s">
        <v>122</v>
      </c>
      <c r="B3524" s="18" t="str">
        <f ca="1">IFERROR(__xludf.DUMMYFUNCTION("GOOGLETRANSLATE(C252,""en"",""hr"")"),"Set odvodnih vijaka")</f>
        <v>Set odvodnih vijaka</v>
      </c>
    </row>
    <row r="3525" spans="1:2" x14ac:dyDescent="0.2">
      <c r="A3525" s="21" t="s">
        <v>112</v>
      </c>
      <c r="B3525" s="18" t="str">
        <f ca="1">IFERROR(__xludf.DUMMYFUNCTION("GOOGLETRANSLATE(C230,""en"",""hr"")"),"brtva")</f>
        <v>brtva</v>
      </c>
    </row>
    <row r="3526" spans="1:2" x14ac:dyDescent="0.2">
      <c r="A3526" s="21" t="s">
        <v>528</v>
      </c>
      <c r="B3526" s="18" t="str">
        <f ca="1">IFERROR(__xludf.DUMMYFUNCTION("GOOGLETRANSLATE(C1375,""en"",""hr"")"),"Sklop senzora")</f>
        <v>Sklop senzora</v>
      </c>
    </row>
    <row r="3527" spans="1:2" x14ac:dyDescent="0.2">
      <c r="A3527" s="21" t="s">
        <v>127</v>
      </c>
      <c r="B3527" s="18" t="str">
        <f ca="1">IFERROR(__xludf.DUMMYFUNCTION("GOOGLETRANSLATE(C257,""en"",""hr"")"),"Sklop senzora")</f>
        <v>Sklop senzora</v>
      </c>
    </row>
    <row r="3528" spans="1:2" x14ac:dyDescent="0.2">
      <c r="A3528" s="21" t="s">
        <v>111</v>
      </c>
      <c r="B3528" s="18" t="str">
        <f ca="1">IFERROR(__xludf.DUMMYFUNCTION("GOOGLETRANSLATE(C229,""en"",""hr"")"),"O-prsten")</f>
        <v>O-prsten</v>
      </c>
    </row>
    <row r="3529" spans="1:2" x14ac:dyDescent="0.2">
      <c r="A3529" s="21" t="s">
        <v>130</v>
      </c>
      <c r="B3529" s="18" t="str">
        <f ca="1">IFERROR(__xludf.DUMMYFUNCTION("GOOGLETRANSLATE(C265,""en"",""hr"")"),"O-prsten termostat")</f>
        <v>O-prsten termostat</v>
      </c>
    </row>
    <row r="3530" spans="1:2" x14ac:dyDescent="0.2">
      <c r="A3530" s="21" t="s">
        <v>1885</v>
      </c>
      <c r="B3530" s="18" t="str">
        <f ca="1">IFERROR(__xludf.DUMMYFUNCTION("GOOGLETRANSLATE(C6600,""en"",""hr"")"),"Jedinica za dijagnostiku")</f>
        <v>Jedinica za dijagnostiku</v>
      </c>
    </row>
    <row r="3531" spans="1:2" x14ac:dyDescent="0.2">
      <c r="A3531" s="21" t="s">
        <v>938</v>
      </c>
      <c r="B3531" s="18" t="str">
        <f ca="1">IFERROR(__xludf.DUMMYFUNCTION("GOOGLETRANSLATE(C2856,""en"",""hr"")"),"Čahura ležaja")</f>
        <v>Čahura ležaja</v>
      </c>
    </row>
    <row r="3532" spans="1:2" x14ac:dyDescent="0.2">
      <c r="A3532" s="21" t="s">
        <v>1402</v>
      </c>
      <c r="B3532" s="18" t="str">
        <f ca="1">IFERROR(__xludf.DUMMYFUNCTION("GOOGLETRANSLATE(C4550,""en"",""hr"")"),"Crijevo")</f>
        <v>Crijevo</v>
      </c>
    </row>
    <row r="3533" spans="1:2" x14ac:dyDescent="0.2">
      <c r="A3533" s="21" t="s">
        <v>1406</v>
      </c>
      <c r="B3533" s="18" t="str">
        <f ca="1">IFERROR(__xludf.DUMMYFUNCTION("GOOGLETRANSLATE(C4560,""en"",""hr"")"),"Hidraulično crijevo")</f>
        <v>Hidraulično crijevo</v>
      </c>
    </row>
    <row r="3534" spans="1:2" x14ac:dyDescent="0.2">
      <c r="A3534" s="21" t="s">
        <v>1727</v>
      </c>
      <c r="B3534" s="18" t="str">
        <f ca="1">IFERROR(__xludf.DUMMYFUNCTION("GOOGLETRANSLATE(C5992,""en"",""hr"")"),"Hidraulično crijevo")</f>
        <v>Hidraulično crijevo</v>
      </c>
    </row>
    <row r="3535" spans="1:2" x14ac:dyDescent="0.2">
      <c r="A3535" s="21" t="s">
        <v>1728</v>
      </c>
      <c r="B3535" s="18" t="str">
        <f ca="1">IFERROR(__xludf.DUMMYFUNCTION("GOOGLETRANSLATE(C5993,""en"",""hr"")"),"Hidraulično crijevo")</f>
        <v>Hidraulično crijevo</v>
      </c>
    </row>
    <row r="3536" spans="1:2" x14ac:dyDescent="0.2">
      <c r="A3536" s="21" t="s">
        <v>1592</v>
      </c>
      <c r="B3536" s="18" t="str">
        <f ca="1">IFERROR(__xludf.DUMMYFUNCTION("GOOGLETRANSLATE(C5406,""en"",""hr"")"),"Hidraulično crijevo")</f>
        <v>Hidraulično crijevo</v>
      </c>
    </row>
    <row r="3537" spans="1:2" x14ac:dyDescent="0.2">
      <c r="A3537" s="21" t="s">
        <v>1600</v>
      </c>
      <c r="B3537" s="18" t="str">
        <f ca="1">IFERROR(__xludf.DUMMYFUNCTION("GOOGLETRANSLATE(C5414,""en"",""hr"")"),"Hidraulično crijevo")</f>
        <v>Hidraulično crijevo</v>
      </c>
    </row>
    <row r="3538" spans="1:2" x14ac:dyDescent="0.2">
      <c r="A3538" s="21" t="s">
        <v>690</v>
      </c>
      <c r="B3538" s="18" t="str">
        <f ca="1">IFERROR(__xludf.DUMMYFUNCTION("GOOGLETRANSLATE(C2171,""en"",""hr"")"),"Hidraulično crijevo")</f>
        <v>Hidraulično crijevo</v>
      </c>
    </row>
    <row r="3539" spans="1:2" x14ac:dyDescent="0.2">
      <c r="A3539" s="21" t="s">
        <v>688</v>
      </c>
      <c r="B3539" s="18" t="str">
        <f ca="1">IFERROR(__xludf.DUMMYFUNCTION("GOOGLETRANSLATE(C2169,""en"",""hr"")"),"Hidraulično crijevo")</f>
        <v>Hidraulično crijevo</v>
      </c>
    </row>
    <row r="3540" spans="1:2" x14ac:dyDescent="0.2">
      <c r="A3540" s="21" t="s">
        <v>700</v>
      </c>
      <c r="B3540" s="18" t="str">
        <f ca="1">IFERROR(__xludf.DUMMYFUNCTION("GOOGLETRANSLATE(C2213,""en"",""hr"")"),"Hidraulično crijevo")</f>
        <v>Hidraulično crijevo</v>
      </c>
    </row>
    <row r="3541" spans="1:2" x14ac:dyDescent="0.2">
      <c r="A3541" s="21" t="s">
        <v>701</v>
      </c>
      <c r="B3541" s="18" t="str">
        <f ca="1">IFERROR(__xludf.DUMMYFUNCTION("GOOGLETRANSLATE(C2216,""en"",""hr"")"),"Hidraulično crijevo")</f>
        <v>Hidraulično crijevo</v>
      </c>
    </row>
    <row r="3542" spans="1:2" x14ac:dyDescent="0.2">
      <c r="A3542" s="21" t="s">
        <v>693</v>
      </c>
      <c r="B3542" s="18" t="str">
        <f ca="1">IFERROR(__xludf.DUMMYFUNCTION("GOOGLETRANSLATE(C2200,""en"",""hr"")"),"Hidraulično crijevo")</f>
        <v>Hidraulično crijevo</v>
      </c>
    </row>
    <row r="3543" spans="1:2" x14ac:dyDescent="0.2">
      <c r="A3543" s="21" t="s">
        <v>695</v>
      </c>
      <c r="B3543" s="18" t="str">
        <f ca="1">IFERROR(__xludf.DUMMYFUNCTION("GOOGLETRANSLATE(C2203,""en"",""hr"")"),"Hidraulično crijevo")</f>
        <v>Hidraulično crijevo</v>
      </c>
    </row>
    <row r="3544" spans="1:2" x14ac:dyDescent="0.2">
      <c r="A3544" s="21" t="s">
        <v>696</v>
      </c>
      <c r="B3544" s="18" t="str">
        <f ca="1">IFERROR(__xludf.DUMMYFUNCTION("GOOGLETRANSLATE(C2204,""en"",""hr"")"),"Hidraulično crijevo")</f>
        <v>Hidraulično crijevo</v>
      </c>
    </row>
    <row r="3545" spans="1:2" x14ac:dyDescent="0.2">
      <c r="A3545" s="21" t="s">
        <v>743</v>
      </c>
      <c r="B3545" s="18" t="str">
        <f ca="1">IFERROR(__xludf.DUMMYFUNCTION("GOOGLETRANSLATE(C2341,""en"",""hr"")"),"Crijevo")</f>
        <v>Crijevo</v>
      </c>
    </row>
    <row r="3546" spans="1:2" x14ac:dyDescent="0.2">
      <c r="A3546" s="21" t="s">
        <v>737</v>
      </c>
      <c r="B3546" s="18" t="str">
        <f ca="1">IFERROR(__xludf.DUMMYFUNCTION("GOOGLETRANSLATE(C2322,""en"",""hr"")"),"Crijevo")</f>
        <v>Crijevo</v>
      </c>
    </row>
    <row r="3547" spans="1:2" x14ac:dyDescent="0.2">
      <c r="A3547" s="21" t="s">
        <v>738</v>
      </c>
      <c r="B3547" s="18" t="str">
        <f ca="1">IFERROR(__xludf.DUMMYFUNCTION("GOOGLETRANSLATE(C2323,""en"",""hr"")"),"Crijevo")</f>
        <v>Crijevo</v>
      </c>
    </row>
    <row r="3548" spans="1:2" x14ac:dyDescent="0.2">
      <c r="A3548" s="21" t="s">
        <v>643</v>
      </c>
      <c r="B3548" s="18" t="str">
        <f ca="1">IFERROR(__xludf.DUMMYFUNCTION("GOOGLETRANSLATE(C1988,""en"",""hr"")"),"Crijevo")</f>
        <v>Crijevo</v>
      </c>
    </row>
    <row r="3549" spans="1:2" x14ac:dyDescent="0.2">
      <c r="A3549" s="21" t="s">
        <v>644</v>
      </c>
      <c r="B3549" s="18" t="str">
        <f ca="1">IFERROR(__xludf.DUMMYFUNCTION("GOOGLETRANSLATE(C1989,""en"",""hr"")"),"Hidraulično crijevo")</f>
        <v>Hidraulično crijevo</v>
      </c>
    </row>
    <row r="3550" spans="1:2" x14ac:dyDescent="0.2">
      <c r="A3550" s="21" t="s">
        <v>759</v>
      </c>
      <c r="B3550" s="18" t="str">
        <f ca="1">IFERROR(__xludf.DUMMYFUNCTION("GOOGLETRANSLATE(C2367,""en"",""hr"")"),"Crijevo")</f>
        <v>Crijevo</v>
      </c>
    </row>
    <row r="3551" spans="1:2" x14ac:dyDescent="0.2">
      <c r="A3551" s="21" t="s">
        <v>742</v>
      </c>
      <c r="B3551" s="18" t="str">
        <f ca="1">IFERROR(__xludf.DUMMYFUNCTION("GOOGLETRANSLATE(C2333,""en"",""hr"")"),"Crijevo")</f>
        <v>Crijevo</v>
      </c>
    </row>
    <row r="3552" spans="1:2" x14ac:dyDescent="0.2">
      <c r="A3552" s="21" t="s">
        <v>754</v>
      </c>
      <c r="B3552" s="18" t="str">
        <f ca="1">IFERROR(__xludf.DUMMYFUNCTION("GOOGLETRANSLATE(C2361,""en"",""hr"")"),"Crijevo")</f>
        <v>Crijevo</v>
      </c>
    </row>
    <row r="3553" spans="1:2" x14ac:dyDescent="0.2">
      <c r="A3553" s="21" t="s">
        <v>758</v>
      </c>
      <c r="B3553" s="18" t="str">
        <f ca="1">IFERROR(__xludf.DUMMYFUNCTION("GOOGLETRANSLATE(C2366,""en"",""hr"")"),"Crijevo")</f>
        <v>Crijevo</v>
      </c>
    </row>
    <row r="3554" spans="1:2" x14ac:dyDescent="0.2">
      <c r="A3554" s="21" t="s">
        <v>752</v>
      </c>
      <c r="B3554" s="18" t="str">
        <f ca="1">IFERROR(__xludf.DUMMYFUNCTION("GOOGLETRANSLATE(C2359,""en"",""hr"")"),"Crijevo")</f>
        <v>Crijevo</v>
      </c>
    </row>
    <row r="3555" spans="1:2" x14ac:dyDescent="0.2">
      <c r="A3555" s="21" t="s">
        <v>756</v>
      </c>
      <c r="B3555" s="18" t="str">
        <f ca="1">IFERROR(__xludf.DUMMYFUNCTION("GOOGLETRANSLATE(C2363,""en"",""hr"")"),"Crijevo")</f>
        <v>Crijevo</v>
      </c>
    </row>
    <row r="3556" spans="1:2" x14ac:dyDescent="0.2">
      <c r="A3556" s="21" t="s">
        <v>750</v>
      </c>
      <c r="B3556" s="18" t="str">
        <f ca="1">IFERROR(__xludf.DUMMYFUNCTION("GOOGLETRANSLATE(C2357,""en"",""hr"")"),"Crijevo")</f>
        <v>Crijevo</v>
      </c>
    </row>
    <row r="3557" spans="1:2" x14ac:dyDescent="0.2">
      <c r="A3557" s="21" t="s">
        <v>755</v>
      </c>
      <c r="B3557" s="18" t="str">
        <f ca="1">IFERROR(__xludf.DUMMYFUNCTION("GOOGLETRANSLATE(C2362,""en"",""hr"")"),"Crijevo")</f>
        <v>Crijevo</v>
      </c>
    </row>
    <row r="3558" spans="1:2" x14ac:dyDescent="0.2">
      <c r="A3558" s="21" t="s">
        <v>1596</v>
      </c>
      <c r="B3558" s="18" t="str">
        <f ca="1">IFERROR(__xludf.DUMMYFUNCTION("GOOGLETRANSLATE(C5410,""en"",""hr"")"),"Hidraulično crijevo")</f>
        <v>Hidraulično crijevo</v>
      </c>
    </row>
    <row r="3559" spans="1:2" x14ac:dyDescent="0.2">
      <c r="A3559" s="21" t="s">
        <v>1599</v>
      </c>
      <c r="B3559" s="18" t="str">
        <f ca="1">IFERROR(__xludf.DUMMYFUNCTION("GOOGLETRANSLATE(C5413,""en"",""hr"")"),"Hidraulično crijevo")</f>
        <v>Hidraulično crijevo</v>
      </c>
    </row>
    <row r="3560" spans="1:2" x14ac:dyDescent="0.2">
      <c r="A3560" s="21" t="s">
        <v>1416</v>
      </c>
      <c r="B3560" s="18" t="str">
        <f ca="1">IFERROR(__xludf.DUMMYFUNCTION("GOOGLETRANSLATE(C4596,""en"",""hr"")"),"Hidraulično crijevo")</f>
        <v>Hidraulično crijevo</v>
      </c>
    </row>
    <row r="3561" spans="1:2" x14ac:dyDescent="0.2">
      <c r="A3561" s="21" t="s">
        <v>684</v>
      </c>
      <c r="B3561" s="18" t="str">
        <f ca="1">IFERROR(__xludf.DUMMYFUNCTION("GOOGLETRANSLATE(C2144,""en"",""hr"")"),"Crijevo")</f>
        <v>Crijevo</v>
      </c>
    </row>
    <row r="3562" spans="1:2" x14ac:dyDescent="0.2">
      <c r="A3562" s="21" t="s">
        <v>885</v>
      </c>
      <c r="B3562" s="18" t="str">
        <f ca="1">IFERROR(__xludf.DUMMYFUNCTION("GOOGLETRANSLATE(C2598,""en"",""hr"")"),"Crijevo")</f>
        <v>Crijevo</v>
      </c>
    </row>
    <row r="3563" spans="1:2" x14ac:dyDescent="0.2">
      <c r="A3563" s="21" t="s">
        <v>887</v>
      </c>
      <c r="B3563" s="18" t="str">
        <f ca="1">IFERROR(__xludf.DUMMYFUNCTION("GOOGLETRANSLATE(C2600,""en"",""hr"")"),"Crijevo")</f>
        <v>Crijevo</v>
      </c>
    </row>
    <row r="3564" spans="1:2" x14ac:dyDescent="0.2">
      <c r="A3564" s="21" t="s">
        <v>886</v>
      </c>
      <c r="B3564" s="18" t="str">
        <f ca="1">IFERROR(__xludf.DUMMYFUNCTION("GOOGLETRANSLATE(C2599,""en"",""hr"")"),"Crijevo")</f>
        <v>Crijevo</v>
      </c>
    </row>
    <row r="3565" spans="1:2" x14ac:dyDescent="0.2">
      <c r="A3565" s="21" t="s">
        <v>889</v>
      </c>
      <c r="B3565" s="18" t="str">
        <f ca="1">IFERROR(__xludf.DUMMYFUNCTION("GOOGLETRANSLATE(C2602,""en"",""hr"")"),"Crijevo")</f>
        <v>Crijevo</v>
      </c>
    </row>
    <row r="3566" spans="1:2" x14ac:dyDescent="0.2">
      <c r="A3566" s="21" t="s">
        <v>884</v>
      </c>
      <c r="B3566" s="18" t="str">
        <f ca="1">IFERROR(__xludf.DUMMYFUNCTION("GOOGLETRANSLATE(C2597,""en"",""hr"")"),"Crijevo")</f>
        <v>Crijevo</v>
      </c>
    </row>
    <row r="3567" spans="1:2" x14ac:dyDescent="0.2">
      <c r="A3567" s="21" t="s">
        <v>656</v>
      </c>
      <c r="B3567" s="18" t="str">
        <f ca="1">IFERROR(__xludf.DUMMYFUNCTION("GOOGLETRANSLATE(C2064,""en"",""hr"")"),"Hidraulično crijevo")</f>
        <v>Hidraulično crijevo</v>
      </c>
    </row>
    <row r="3568" spans="1:2" x14ac:dyDescent="0.2">
      <c r="A3568" s="21" t="s">
        <v>760</v>
      </c>
      <c r="B3568" s="18" t="str">
        <f ca="1">IFERROR(__xludf.DUMMYFUNCTION("GOOGLETRANSLATE(C2368,""en"",""hr"")"),"Crijevo")</f>
        <v>Crijevo</v>
      </c>
    </row>
    <row r="3569" spans="1:2" x14ac:dyDescent="0.2">
      <c r="A3569" s="21" t="s">
        <v>741</v>
      </c>
      <c r="B3569" s="18" t="str">
        <f ca="1">IFERROR(__xludf.DUMMYFUNCTION("GOOGLETRANSLATE(C2332,""en"",""hr"")"),"Crijevo")</f>
        <v>Crijevo</v>
      </c>
    </row>
    <row r="3570" spans="1:2" x14ac:dyDescent="0.2">
      <c r="A3570" s="21" t="s">
        <v>740</v>
      </c>
      <c r="B3570" s="18" t="str">
        <f ca="1">IFERROR(__xludf.DUMMYFUNCTION("GOOGLETRANSLATE(C2331,""en"",""hr"")"),"Crijevo")</f>
        <v>Crijevo</v>
      </c>
    </row>
    <row r="3571" spans="1:2" x14ac:dyDescent="0.2">
      <c r="A3571" s="21" t="s">
        <v>747</v>
      </c>
      <c r="B3571" s="18" t="str">
        <f ca="1">IFERROR(__xludf.DUMMYFUNCTION("GOOGLETRANSLATE(C2352,""en"",""hr"")"),"Crijevo")</f>
        <v>Crijevo</v>
      </c>
    </row>
    <row r="3572" spans="1:2" x14ac:dyDescent="0.2">
      <c r="A3572" s="21" t="s">
        <v>746</v>
      </c>
      <c r="B3572" s="18" t="str">
        <f ca="1">IFERROR(__xludf.DUMMYFUNCTION("GOOGLETRANSLATE(C2351,""en"",""hr"")"),"Crijevo")</f>
        <v>Crijevo</v>
      </c>
    </row>
    <row r="3573" spans="1:2" x14ac:dyDescent="0.2">
      <c r="A3573" s="21" t="s">
        <v>692</v>
      </c>
      <c r="B3573" s="18" t="str">
        <f ca="1">IFERROR(__xludf.DUMMYFUNCTION("GOOGLETRANSLATE(C2199,""en"",""hr"")"),"Hidraulično crijevo")</f>
        <v>Hidraulično crijevo</v>
      </c>
    </row>
    <row r="3574" spans="1:2" x14ac:dyDescent="0.2">
      <c r="A3574" s="21" t="s">
        <v>749</v>
      </c>
      <c r="B3574" s="18" t="str">
        <f ca="1">IFERROR(__xludf.DUMMYFUNCTION("GOOGLETRANSLATE(C2355,""en"",""hr"")"),"Crijevo")</f>
        <v>Crijevo</v>
      </c>
    </row>
    <row r="3575" spans="1:2" x14ac:dyDescent="0.2">
      <c r="A3575" s="21" t="s">
        <v>761</v>
      </c>
      <c r="B3575" s="18" t="str">
        <f ca="1">IFERROR(__xludf.DUMMYFUNCTION("GOOGLETRANSLATE(C2369,""en"",""hr"")"),"Crijevo")</f>
        <v>Crijevo</v>
      </c>
    </row>
    <row r="3576" spans="1:2" x14ac:dyDescent="0.2">
      <c r="A3576" s="21" t="s">
        <v>762</v>
      </c>
      <c r="B3576" s="18" t="str">
        <f ca="1">IFERROR(__xludf.DUMMYFUNCTION("GOOGLETRANSLATE(C2370,""en"",""hr"")"),"Crijevo")</f>
        <v>Crijevo</v>
      </c>
    </row>
    <row r="3577" spans="1:2" x14ac:dyDescent="0.2">
      <c r="A3577" s="21" t="s">
        <v>751</v>
      </c>
      <c r="B3577" s="18" t="str">
        <f ca="1">IFERROR(__xludf.DUMMYFUNCTION("GOOGLETRANSLATE(C2358,""en"",""hr"")"),"Crijevo")</f>
        <v>Crijevo</v>
      </c>
    </row>
    <row r="3578" spans="1:2" x14ac:dyDescent="0.2">
      <c r="A3578" s="21" t="s">
        <v>1595</v>
      </c>
      <c r="B3578" s="18" t="str">
        <f ca="1">IFERROR(__xludf.DUMMYFUNCTION("GOOGLETRANSLATE(C5409,""en"",""hr"")"),"Hidraulično crijevo")</f>
        <v>Hidraulično crijevo</v>
      </c>
    </row>
    <row r="3579" spans="1:2" x14ac:dyDescent="0.2">
      <c r="A3579" s="21" t="s">
        <v>1594</v>
      </c>
      <c r="B3579" s="18" t="str">
        <f ca="1">IFERROR(__xludf.DUMMYFUNCTION("GOOGLETRANSLATE(C5408,""en"",""hr"")"),"Hidraulično crijevo")</f>
        <v>Hidraulično crijevo</v>
      </c>
    </row>
    <row r="3580" spans="1:2" x14ac:dyDescent="0.2">
      <c r="A3580" s="21" t="s">
        <v>1593</v>
      </c>
      <c r="B3580" s="18" t="str">
        <f ca="1">IFERROR(__xludf.DUMMYFUNCTION("GOOGLETRANSLATE(C5407,""en"",""hr"")"),"Hidraulično crijevo")</f>
        <v>Hidraulično crijevo</v>
      </c>
    </row>
    <row r="3581" spans="1:2" x14ac:dyDescent="0.2">
      <c r="A3581" s="21" t="s">
        <v>1598</v>
      </c>
      <c r="B3581" s="18" t="str">
        <f ca="1">IFERROR(__xludf.DUMMYFUNCTION("GOOGLETRANSLATE(C5412,""en"",""hr"")"),"Hidraulično crijevo")</f>
        <v>Hidraulično crijevo</v>
      </c>
    </row>
    <row r="3582" spans="1:2" x14ac:dyDescent="0.2">
      <c r="A3582" s="21" t="s">
        <v>1597</v>
      </c>
      <c r="B3582" s="18" t="str">
        <f ca="1">IFERROR(__xludf.DUMMYFUNCTION("GOOGLETRANSLATE(C5411,""en"",""hr"")"),"Hidraulično crijevo")</f>
        <v>Hidraulično crijevo</v>
      </c>
    </row>
    <row r="3583" spans="1:2" x14ac:dyDescent="0.2">
      <c r="A3583" s="21" t="s">
        <v>748</v>
      </c>
      <c r="B3583" s="18" t="str">
        <f ca="1">IFERROR(__xludf.DUMMYFUNCTION("GOOGLETRANSLATE(C2354,""en"",""hr"")"),"Crijevo")</f>
        <v>Crijevo</v>
      </c>
    </row>
    <row r="3584" spans="1:2" x14ac:dyDescent="0.2">
      <c r="A3584" s="21" t="s">
        <v>1401</v>
      </c>
      <c r="B3584" s="18" t="str">
        <f ca="1">IFERROR(__xludf.DUMMYFUNCTION("GOOGLETRANSLATE(C4549,""en"",""hr"")"),"Crijevo")</f>
        <v>Crijevo</v>
      </c>
    </row>
    <row r="3585" spans="1:2" x14ac:dyDescent="0.2">
      <c r="A3585" s="21" t="s">
        <v>1408</v>
      </c>
      <c r="B3585" s="18" t="str">
        <f ca="1">IFERROR(__xludf.DUMMYFUNCTION("GOOGLETRANSLATE(C4563,""en"",""hr"")"),"Hidraulično crijevo")</f>
        <v>Hidraulično crijevo</v>
      </c>
    </row>
    <row r="3586" spans="1:2" x14ac:dyDescent="0.2">
      <c r="A3586" s="21" t="s">
        <v>1409</v>
      </c>
      <c r="B3586" s="18" t="str">
        <f ca="1">IFERROR(__xludf.DUMMYFUNCTION("GOOGLETRANSLATE(C4578,""en"",""hr"")"),"Hidraulično crijevo")</f>
        <v>Hidraulično crijevo</v>
      </c>
    </row>
    <row r="3587" spans="1:2" x14ac:dyDescent="0.2">
      <c r="A3587" s="21" t="s">
        <v>1415</v>
      </c>
      <c r="B3587" s="18" t="str">
        <f ca="1">IFERROR(__xludf.DUMMYFUNCTION("GOOGLETRANSLATE(C4593,""en"",""hr"")"),"Hidraulično crijevo")</f>
        <v>Hidraulično crijevo</v>
      </c>
    </row>
    <row r="3588" spans="1:2" x14ac:dyDescent="0.2">
      <c r="A3588" s="21" t="s">
        <v>1413</v>
      </c>
      <c r="B3588" s="18" t="str">
        <f ca="1">IFERROR(__xludf.DUMMYFUNCTION("GOOGLETRANSLATE(C4590,""en"",""hr"")"),"Hidraulično crijevo")</f>
        <v>Hidraulično crijevo</v>
      </c>
    </row>
    <row r="3589" spans="1:2" x14ac:dyDescent="0.2">
      <c r="A3589" s="21" t="s">
        <v>1414</v>
      </c>
      <c r="B3589" s="18" t="str">
        <f ca="1">IFERROR(__xludf.DUMMYFUNCTION("GOOGLETRANSLATE(C4591,""en"",""hr"")"),"Hidraulično crijevo")</f>
        <v>Hidraulično crijevo</v>
      </c>
    </row>
    <row r="3590" spans="1:2" x14ac:dyDescent="0.2">
      <c r="A3590" s="21" t="s">
        <v>928</v>
      </c>
      <c r="B3590" s="18" t="str">
        <f ca="1">IFERROR(__xludf.DUMMYFUNCTION("GOOGLETRANSLATE(C2795,""en"",""hr"")"),"Hidraulično crijevo")</f>
        <v>Hidraulično crijevo</v>
      </c>
    </row>
    <row r="3591" spans="1:2" x14ac:dyDescent="0.2">
      <c r="A3591" s="21" t="s">
        <v>888</v>
      </c>
      <c r="B3591" s="18" t="str">
        <f ca="1">IFERROR(__xludf.DUMMYFUNCTION("GOOGLETRANSLATE(C2601,""en"",""hr"")"),"Crijevo")</f>
        <v>Crijevo</v>
      </c>
    </row>
    <row r="3592" spans="1:2" x14ac:dyDescent="0.2">
      <c r="A3592" s="21" t="s">
        <v>944</v>
      </c>
      <c r="B3592" s="18" t="str">
        <f ca="1">IFERROR(__xludf.DUMMYFUNCTION("GOOGLETRANSLATE(C2992,""en"",""hr"")"),"Crijevo")</f>
        <v>Crijevo</v>
      </c>
    </row>
    <row r="3593" spans="1:2" x14ac:dyDescent="0.2">
      <c r="A3593" s="21" t="s">
        <v>1426</v>
      </c>
      <c r="B3593" s="18" t="str">
        <f ca="1">IFERROR(__xludf.DUMMYFUNCTION("GOOGLETRANSLATE(C4635,""en"",""hr"")"),"Crijevo")</f>
        <v>Crijevo</v>
      </c>
    </row>
    <row r="3594" spans="1:2" x14ac:dyDescent="0.2">
      <c r="A3594" s="21" t="s">
        <v>1047</v>
      </c>
      <c r="B3594" s="18" t="str">
        <f ca="1">IFERROR(__xludf.DUMMYFUNCTION("GOOGLETRANSLATE(C3431,""en"",""hr"")"),"Crijevo")</f>
        <v>Crijevo</v>
      </c>
    </row>
    <row r="3595" spans="1:2" x14ac:dyDescent="0.2">
      <c r="A3595" s="21" t="s">
        <v>1046</v>
      </c>
      <c r="B3595" s="18" t="str">
        <f ca="1">IFERROR(__xludf.DUMMYFUNCTION("GOOGLETRANSLATE(C3430,""en"",""hr"")"),"Crijevo")</f>
        <v>Crijevo</v>
      </c>
    </row>
    <row r="3596" spans="1:2" x14ac:dyDescent="0.2">
      <c r="A3596" s="21" t="s">
        <v>1235</v>
      </c>
      <c r="B3596" s="18" t="str">
        <f ca="1">IFERROR(__xludf.DUMMYFUNCTION("GOOGLETRANSLATE(C3925,""en"",""hr"")"),"Crijevo")</f>
        <v>Crijevo</v>
      </c>
    </row>
    <row r="3597" spans="1:2" x14ac:dyDescent="0.2">
      <c r="A3597" s="21" t="s">
        <v>1337</v>
      </c>
      <c r="B3597" s="18" t="str">
        <f ca="1">IFERROR(__xludf.DUMMYFUNCTION("GOOGLETRANSLATE(C4205,""en"",""hr"")"),"Crijevo")</f>
        <v>Crijevo</v>
      </c>
    </row>
    <row r="3598" spans="1:2" x14ac:dyDescent="0.2">
      <c r="A3598" s="21" t="s">
        <v>1233</v>
      </c>
      <c r="B3598" s="18" t="str">
        <f ca="1">IFERROR(__xludf.DUMMYFUNCTION("GOOGLETRANSLATE(C3921,""en"",""hr"")"),"Crijevo")</f>
        <v>Crijevo</v>
      </c>
    </row>
    <row r="3599" spans="1:2" x14ac:dyDescent="0.2">
      <c r="A3599" s="21" t="s">
        <v>1305</v>
      </c>
      <c r="B3599" s="18" t="str">
        <f ca="1">IFERROR(__xludf.DUMMYFUNCTION("GOOGLETRANSLATE(C4121,""en"",""hr"")"),"Hidraulično crijevo")</f>
        <v>Hidraulično crijevo</v>
      </c>
    </row>
    <row r="3600" spans="1:2" x14ac:dyDescent="0.2">
      <c r="A3600" s="21" t="s">
        <v>1306</v>
      </c>
      <c r="B3600" s="18" t="str">
        <f ca="1">IFERROR(__xludf.DUMMYFUNCTION("GOOGLETRANSLATE(C4122,""en"",""hr"")"),"Hidraulično crijevo")</f>
        <v>Hidraulično crijevo</v>
      </c>
    </row>
    <row r="3601" spans="1:2" x14ac:dyDescent="0.2">
      <c r="A3601" s="21" t="s">
        <v>406</v>
      </c>
      <c r="B3601" s="18" t="str">
        <f ca="1">IFERROR(__xludf.DUMMYFUNCTION("GOOGLETRANSLATE(C951,""en"",""hr"")"),"Crijevo")</f>
        <v>Crijevo</v>
      </c>
    </row>
    <row r="3602" spans="1:2" x14ac:dyDescent="0.2">
      <c r="A3602" s="21" t="s">
        <v>197</v>
      </c>
      <c r="B3602" s="18" t="str">
        <f ca="1">IFERROR(__xludf.DUMMYFUNCTION("GOOGLETRANSLATE(C426,""en"",""hr"")"),"Crijevo")</f>
        <v>Crijevo</v>
      </c>
    </row>
    <row r="3603" spans="1:2" x14ac:dyDescent="0.2">
      <c r="A3603" s="21" t="s">
        <v>1718</v>
      </c>
      <c r="B3603" s="18" t="str">
        <f ca="1">IFERROR(__xludf.DUMMYFUNCTION("GOOGLETRANSLATE(C5960,""en"",""hr"")"),"Crijevo")</f>
        <v>Crijevo</v>
      </c>
    </row>
    <row r="3604" spans="1:2" x14ac:dyDescent="0.2">
      <c r="A3604" s="21" t="s">
        <v>1732</v>
      </c>
      <c r="B3604" s="18" t="str">
        <f ca="1">IFERROR(__xludf.DUMMYFUNCTION("GOOGLETRANSLATE(C6023,""en"",""hr"")"),"Hidraulično crijevo")</f>
        <v>Hidraulično crijevo</v>
      </c>
    </row>
    <row r="3605" spans="1:2" x14ac:dyDescent="0.2">
      <c r="A3605" s="21" t="s">
        <v>1712</v>
      </c>
      <c r="B3605" s="18" t="str">
        <f ca="1">IFERROR(__xludf.DUMMYFUNCTION("GOOGLETRANSLATE(C5948,""en"",""hr"")"),"Crijevo")</f>
        <v>Crijevo</v>
      </c>
    </row>
    <row r="3606" spans="1:2" x14ac:dyDescent="0.2">
      <c r="A3606" s="21" t="s">
        <v>1713</v>
      </c>
      <c r="B3606" s="18" t="str">
        <f ca="1">IFERROR(__xludf.DUMMYFUNCTION("GOOGLETRANSLATE(C5949,""en"",""hr"")"),"Crijevo")</f>
        <v>Crijevo</v>
      </c>
    </row>
    <row r="3607" spans="1:2" x14ac:dyDescent="0.2">
      <c r="A3607" s="21" t="s">
        <v>1711</v>
      </c>
      <c r="B3607" s="18" t="str">
        <f ca="1">IFERROR(__xludf.DUMMYFUNCTION("GOOGLETRANSLATE(C5946,""en"",""hr"")"),"Crijevo")</f>
        <v>Crijevo</v>
      </c>
    </row>
    <row r="3608" spans="1:2" x14ac:dyDescent="0.2">
      <c r="A3608" s="21" t="s">
        <v>1670</v>
      </c>
      <c r="B3608" s="18" t="str">
        <f ca="1">IFERROR(__xludf.DUMMYFUNCTION("GOOGLETRANSLATE(C5767,""en"",""hr"")"),"Crijevo")</f>
        <v>Crijevo</v>
      </c>
    </row>
    <row r="3609" spans="1:2" x14ac:dyDescent="0.2">
      <c r="A3609" s="21" t="s">
        <v>1334</v>
      </c>
      <c r="B3609" s="18" t="str">
        <f ca="1">IFERROR(__xludf.DUMMYFUNCTION("GOOGLETRANSLATE(C4200,""en"",""hr"")"),"Hidraulično crijevo")</f>
        <v>Hidraulično crijevo</v>
      </c>
    </row>
    <row r="3610" spans="1:2" x14ac:dyDescent="0.2">
      <c r="A3610" s="21" t="s">
        <v>48</v>
      </c>
      <c r="B3610" s="18" t="str">
        <f ca="1">IFERROR(__xludf.DUMMYFUNCTION("GOOGLETRANSLATE(C77,""en"",""hr"")"),"Četka (čelik/plastika) ""One Way""")</f>
        <v>Četka (čelik/plastika) "One Way"</v>
      </c>
    </row>
    <row r="3611" spans="1:2" x14ac:dyDescent="0.2">
      <c r="A3611" s="21" t="s">
        <v>49</v>
      </c>
      <c r="B3611" s="18" t="str">
        <f ca="1">IFERROR(__xludf.DUMMYFUNCTION("GOOGLETRANSLATE(C78,""en"",""hr"")"),"Četka (čelik/plastika) ""One Way"" Silent")</f>
        <v>Četka (čelik/plastika) "One Way" Silent</v>
      </c>
    </row>
    <row r="3612" spans="1:2" x14ac:dyDescent="0.2">
      <c r="A3612" s="21" t="s">
        <v>50</v>
      </c>
      <c r="B3612" s="18" t="str">
        <f ca="1">IFERROR(__xludf.DUMMYFUNCTION("GOOGLETRANSLATE(C79,""en"",""hr"")"),"Četka (čelični okvir) ""One Way""")</f>
        <v>Četka (čelični okvir) "One Way"</v>
      </c>
    </row>
    <row r="3613" spans="1:2" x14ac:dyDescent="0.2">
      <c r="A3613" s="21" t="s">
        <v>827</v>
      </c>
      <c r="B3613" s="18" t="str">
        <f ca="1">IFERROR(__xludf.DUMMYFUNCTION("GOOGLETRANSLATE(C2485,""en"",""hr"")"),"Čahura")</f>
        <v>Čahura</v>
      </c>
    </row>
    <row r="3614" spans="1:2" x14ac:dyDescent="0.2">
      <c r="A3614" s="21" t="s">
        <v>837</v>
      </c>
      <c r="B3614" s="18" t="str">
        <f ca="1">IFERROR(__xludf.DUMMYFUNCTION("GOOGLETRANSLATE(C2500,""en"",""hr"")"),"Proljeće")</f>
        <v>Proljeće</v>
      </c>
    </row>
    <row r="3615" spans="1:2" x14ac:dyDescent="0.2">
      <c r="A3615" s="21" t="s">
        <v>836</v>
      </c>
      <c r="B3615" s="18" t="str">
        <f ca="1">IFERROR(__xludf.DUMMYFUNCTION("GOOGLETRANSLATE(C2499,""en"",""hr"")"),"Štap")</f>
        <v>Štap</v>
      </c>
    </row>
    <row r="3616" spans="1:2" x14ac:dyDescent="0.2">
      <c r="A3616" s="21" t="s">
        <v>607</v>
      </c>
      <c r="B3616" s="18" t="str">
        <f ca="1">IFERROR(__xludf.DUMMYFUNCTION("GOOGLETRANSLATE(C1881,""en"",""hr"")"),"Napetost opruge")</f>
        <v>Napetost opruge</v>
      </c>
    </row>
    <row r="3617" spans="1:2" x14ac:dyDescent="0.2">
      <c r="A3617" s="21" t="s">
        <v>903</v>
      </c>
      <c r="B3617" s="18" t="str">
        <f ca="1">IFERROR(__xludf.DUMMYFUNCTION("GOOGLETRANSLATE(C2675,""en"",""hr"")"),"Gumeni tampon")</f>
        <v>Gumeni tampon</v>
      </c>
    </row>
    <row r="3618" spans="1:2" x14ac:dyDescent="0.2">
      <c r="A3618" s="21" t="s">
        <v>819</v>
      </c>
      <c r="B3618" s="18" t="str">
        <f ca="1">IFERROR(__xludf.DUMMYFUNCTION("GOOGLETRANSLATE(C2472,""en"",""hr"")"),"Proljeće")</f>
        <v>Proljeće</v>
      </c>
    </row>
    <row r="3619" spans="1:2" x14ac:dyDescent="0.2">
      <c r="A3619" s="21" t="s">
        <v>809</v>
      </c>
      <c r="B3619" s="18" t="str">
        <f ca="1">IFERROR(__xludf.DUMMYFUNCTION("GOOGLETRANSLATE(C2455,""en"",""hr"")"),"Disk udaljenosti")</f>
        <v>Disk udaljenosti</v>
      </c>
    </row>
    <row r="3620" spans="1:2" x14ac:dyDescent="0.2">
      <c r="A3620" s="21" t="s">
        <v>1352</v>
      </c>
      <c r="B3620" s="18" t="str">
        <f ca="1">IFERROR(__xludf.DUMMYFUNCTION("GOOGLETRANSLATE(C4289,""en"",""hr"")"),"Restriktor")</f>
        <v>Restriktor</v>
      </c>
    </row>
    <row r="3621" spans="1:2" x14ac:dyDescent="0.2">
      <c r="A3621" s="21" t="s">
        <v>325</v>
      </c>
      <c r="B3621" s="18" t="str">
        <f ca="1">IFERROR(__xludf.DUMMYFUNCTION("GOOGLETRANSLATE(C734,""en"",""hr"")"),"Vijčani čep")</f>
        <v>Vijčani čep</v>
      </c>
    </row>
    <row r="3622" spans="1:2" x14ac:dyDescent="0.2">
      <c r="A3622" s="21" t="s">
        <v>606</v>
      </c>
      <c r="B3622" s="18" t="str">
        <f ca="1">IFERROR(__xludf.DUMMYFUNCTION("GOOGLETRANSLATE(C1880,""en"",""hr"")"),"Sklop cilindra za podizanje")</f>
        <v>Sklop cilindra za podizanje</v>
      </c>
    </row>
    <row r="3623" spans="1:2" x14ac:dyDescent="0.2">
      <c r="A3623" s="21" t="s">
        <v>1048</v>
      </c>
      <c r="B3623" s="18" t="str">
        <f ca="1">IFERROR(__xludf.DUMMYFUNCTION("GOOGLETRANSLATE(C3433,""en"",""hr"")"),"Prirubnica")</f>
        <v>Prirubnica</v>
      </c>
    </row>
    <row r="3624" spans="1:2" x14ac:dyDescent="0.2">
      <c r="A3624" s="21" t="s">
        <v>1034</v>
      </c>
      <c r="B3624" s="18" t="str">
        <f ca="1">IFERROR(__xludf.DUMMYFUNCTION("GOOGLETRANSLATE(C3367,""en"",""hr"")"),"brtva")</f>
        <v>brtva</v>
      </c>
    </row>
    <row r="3625" spans="1:2" x14ac:dyDescent="0.2">
      <c r="A3625" s="21" t="s">
        <v>1049</v>
      </c>
      <c r="B3625" s="18" t="str">
        <f ca="1">IFERROR(__xludf.DUMMYFUNCTION("GOOGLETRANSLATE(C3434,""en"",""hr"")"),"Poklopac")</f>
        <v>Poklopac</v>
      </c>
    </row>
    <row r="3626" spans="1:2" x14ac:dyDescent="0.2">
      <c r="A3626" s="21" t="s">
        <v>1896</v>
      </c>
      <c r="B3626" s="18" t="str">
        <f ca="1">IFERROR(__xludf.DUMMYFUNCTION("GOOGLETRANSLATE(C6619,""en"",""hr"")"),"Cijev za punjenje cpl.")</f>
        <v>Cijev za punjenje cpl.</v>
      </c>
    </row>
    <row r="3627" spans="1:2" x14ac:dyDescent="0.2">
      <c r="A3627" s="21" t="s">
        <v>1901</v>
      </c>
      <c r="B3627" s="18" t="str">
        <f ca="1">IFERROR(__xludf.DUMMYFUNCTION("GOOGLETRANSLATE(C6631,""en"",""hr"")"),"Pištolj za podmazivanje kpl.")</f>
        <v>Pištolj za podmazivanje kpl.</v>
      </c>
    </row>
    <row r="3628" spans="1:2" x14ac:dyDescent="0.2">
      <c r="A3628" s="19" t="s">
        <v>2029</v>
      </c>
      <c r="B3628" t="s">
        <v>2030</v>
      </c>
    </row>
    <row r="3629" spans="1:2" x14ac:dyDescent="0.2">
      <c r="A3629" s="19" t="s">
        <v>2031</v>
      </c>
      <c r="B3629" s="25" t="s">
        <v>2032</v>
      </c>
    </row>
    <row r="3630" spans="1:2" x14ac:dyDescent="0.2">
      <c r="A3630" s="19" t="s">
        <v>2033</v>
      </c>
      <c r="B3630" s="20" t="s">
        <v>2034</v>
      </c>
    </row>
    <row r="3631" spans="1:2" x14ac:dyDescent="0.2">
      <c r="A3631" s="19" t="s">
        <v>2035</v>
      </c>
      <c r="B3631" s="20" t="s">
        <v>2036</v>
      </c>
    </row>
    <row r="3632" spans="1:2" x14ac:dyDescent="0.2">
      <c r="A3632" s="19" t="s">
        <v>2037</v>
      </c>
      <c r="B3632" s="20" t="s">
        <v>2038</v>
      </c>
    </row>
    <row r="3633" spans="1:2" x14ac:dyDescent="0.2">
      <c r="A3633" s="19" t="s">
        <v>2039</v>
      </c>
      <c r="B3633" s="20" t="s">
        <v>2040</v>
      </c>
    </row>
    <row r="3634" spans="1:2" x14ac:dyDescent="0.2">
      <c r="A3634" s="19" t="s">
        <v>2041</v>
      </c>
      <c r="B3634" s="20" t="s">
        <v>2042</v>
      </c>
    </row>
    <row r="3635" spans="1:2" x14ac:dyDescent="0.2">
      <c r="A3635" s="19">
        <v>35242033</v>
      </c>
      <c r="B3635" s="20" t="s">
        <v>2043</v>
      </c>
    </row>
    <row r="3636" spans="1:2" x14ac:dyDescent="0.2">
      <c r="A3636" s="19" t="s">
        <v>2044</v>
      </c>
      <c r="B3636" s="20" t="s">
        <v>2045</v>
      </c>
    </row>
    <row r="3637" spans="1:2" x14ac:dyDescent="0.2">
      <c r="A3637" s="19" t="s">
        <v>2046</v>
      </c>
      <c r="B3637" s="20" t="s">
        <v>2047</v>
      </c>
    </row>
    <row r="3638" spans="1:2" x14ac:dyDescent="0.2">
      <c r="A3638" s="19" t="s">
        <v>2048</v>
      </c>
      <c r="B3638" s="20" t="s">
        <v>2049</v>
      </c>
    </row>
    <row r="3639" spans="1:2" x14ac:dyDescent="0.2">
      <c r="A3639" s="19" t="s">
        <v>2050</v>
      </c>
      <c r="B3639" s="20" t="s">
        <v>2051</v>
      </c>
    </row>
    <row r="3640" spans="1:2" x14ac:dyDescent="0.2">
      <c r="A3640" s="19" t="s">
        <v>2052</v>
      </c>
      <c r="B3640" s="20" t="s">
        <v>2053</v>
      </c>
    </row>
    <row r="3641" spans="1:2" x14ac:dyDescent="0.2">
      <c r="A3641" s="19" t="s">
        <v>2054</v>
      </c>
      <c r="B3641" s="20" t="s">
        <v>2055</v>
      </c>
    </row>
    <row r="3642" spans="1:2" x14ac:dyDescent="0.2">
      <c r="A3642" s="19" t="s">
        <v>2056</v>
      </c>
      <c r="B3642" s="20" t="s">
        <v>2057</v>
      </c>
    </row>
    <row r="3643" spans="1:2" x14ac:dyDescent="0.2">
      <c r="A3643" s="19" t="s">
        <v>2058</v>
      </c>
      <c r="B3643" s="20" t="s">
        <v>2059</v>
      </c>
    </row>
    <row r="3644" spans="1:2" x14ac:dyDescent="0.2">
      <c r="A3644" s="19" t="s">
        <v>2060</v>
      </c>
      <c r="B3644" s="20" t="s">
        <v>2061</v>
      </c>
    </row>
    <row r="3645" spans="1:2" x14ac:dyDescent="0.2">
      <c r="A3645" s="19" t="s">
        <v>2062</v>
      </c>
      <c r="B3645" s="20" t="s">
        <v>2063</v>
      </c>
    </row>
    <row r="3646" spans="1:2" x14ac:dyDescent="0.2">
      <c r="A3646" s="19" t="s">
        <v>2064</v>
      </c>
      <c r="B3646" s="20" t="s">
        <v>2065</v>
      </c>
    </row>
    <row r="3647" spans="1:2" x14ac:dyDescent="0.2">
      <c r="A3647" s="19" t="s">
        <v>2066</v>
      </c>
      <c r="B3647" s="20" t="s">
        <v>2067</v>
      </c>
    </row>
    <row r="3648" spans="1:2" x14ac:dyDescent="0.2">
      <c r="A3648" s="19" t="s">
        <v>2068</v>
      </c>
      <c r="B3648" s="20" t="s">
        <v>2069</v>
      </c>
    </row>
    <row r="3649" spans="1:2" x14ac:dyDescent="0.2">
      <c r="A3649" s="19" t="s">
        <v>2070</v>
      </c>
      <c r="B3649" s="20" t="s">
        <v>2071</v>
      </c>
    </row>
    <row r="3650" spans="1:2" x14ac:dyDescent="0.2">
      <c r="A3650" s="19" t="s">
        <v>2072</v>
      </c>
      <c r="B3650" s="20" t="s">
        <v>2073</v>
      </c>
    </row>
    <row r="3651" spans="1:2" x14ac:dyDescent="0.2">
      <c r="A3651" s="19" t="s">
        <v>2074</v>
      </c>
      <c r="B3651" s="20" t="s">
        <v>2075</v>
      </c>
    </row>
    <row r="3652" spans="1:2" x14ac:dyDescent="0.2">
      <c r="A3652" s="19" t="s">
        <v>2076</v>
      </c>
      <c r="B3652" s="20" t="s">
        <v>2077</v>
      </c>
    </row>
    <row r="3653" spans="1:2" x14ac:dyDescent="0.2">
      <c r="A3653" s="19" t="s">
        <v>2078</v>
      </c>
      <c r="B3653" s="20" t="s">
        <v>2079</v>
      </c>
    </row>
    <row r="3654" spans="1:2" x14ac:dyDescent="0.2">
      <c r="A3654" s="19" t="s">
        <v>2080</v>
      </c>
      <c r="B3654" s="20" t="s">
        <v>2081</v>
      </c>
    </row>
    <row r="3655" spans="1:2" x14ac:dyDescent="0.2">
      <c r="A3655" s="19" t="s">
        <v>2082</v>
      </c>
      <c r="B3655" s="20" t="s">
        <v>2083</v>
      </c>
    </row>
    <row r="3656" spans="1:2" x14ac:dyDescent="0.2">
      <c r="A3656" s="19" t="s">
        <v>2084</v>
      </c>
      <c r="B3656" s="20" t="s">
        <v>2085</v>
      </c>
    </row>
    <row r="3657" spans="1:2" x14ac:dyDescent="0.2">
      <c r="A3657" s="19" t="s">
        <v>2086</v>
      </c>
      <c r="B3657" s="20" t="s">
        <v>2087</v>
      </c>
    </row>
    <row r="3658" spans="1:2" x14ac:dyDescent="0.2">
      <c r="A3658" s="19" t="s">
        <v>2088</v>
      </c>
      <c r="B3658" s="20" t="s">
        <v>2089</v>
      </c>
    </row>
    <row r="3659" spans="1:2" x14ac:dyDescent="0.2">
      <c r="A3659" s="19" t="s">
        <v>2090</v>
      </c>
      <c r="B3659" s="20" t="s">
        <v>2091</v>
      </c>
    </row>
    <row r="3660" spans="1:2" x14ac:dyDescent="0.2">
      <c r="A3660" s="19" t="s">
        <v>2092</v>
      </c>
      <c r="B3660" s="20" t="s">
        <v>2093</v>
      </c>
    </row>
    <row r="3661" spans="1:2" x14ac:dyDescent="0.2">
      <c r="A3661" s="19" t="s">
        <v>2094</v>
      </c>
      <c r="B3661" s="20" t="s">
        <v>2095</v>
      </c>
    </row>
    <row r="3662" spans="1:2" x14ac:dyDescent="0.2">
      <c r="A3662" s="19" t="s">
        <v>2096</v>
      </c>
      <c r="B3662" s="20" t="s">
        <v>2097</v>
      </c>
    </row>
    <row r="3663" spans="1:2" x14ac:dyDescent="0.2">
      <c r="A3663" s="19" t="s">
        <v>2098</v>
      </c>
      <c r="B3663" s="20" t="s">
        <v>2099</v>
      </c>
    </row>
    <row r="3664" spans="1:2" x14ac:dyDescent="0.2">
      <c r="A3664" s="19" t="s">
        <v>2100</v>
      </c>
      <c r="B3664" s="20" t="s">
        <v>2095</v>
      </c>
    </row>
    <row r="3665" spans="1:2" x14ac:dyDescent="0.2">
      <c r="A3665" s="19" t="s">
        <v>2101</v>
      </c>
      <c r="B3665" s="20" t="s">
        <v>2102</v>
      </c>
    </row>
    <row r="3666" spans="1:2" x14ac:dyDescent="0.2">
      <c r="A3666" s="19" t="s">
        <v>2103</v>
      </c>
      <c r="B3666" s="20" t="s">
        <v>2104</v>
      </c>
    </row>
    <row r="3667" spans="1:2" x14ac:dyDescent="0.2">
      <c r="A3667" s="19" t="s">
        <v>2105</v>
      </c>
      <c r="B3667" s="20" t="s">
        <v>2106</v>
      </c>
    </row>
    <row r="3668" spans="1:2" x14ac:dyDescent="0.2">
      <c r="A3668" s="19" t="s">
        <v>2107</v>
      </c>
      <c r="B3668" s="20" t="s">
        <v>2108</v>
      </c>
    </row>
    <row r="3669" spans="1:2" x14ac:dyDescent="0.2">
      <c r="A3669" s="19" t="s">
        <v>2109</v>
      </c>
      <c r="B3669" s="20" t="s">
        <v>2110</v>
      </c>
    </row>
    <row r="3670" spans="1:2" x14ac:dyDescent="0.2">
      <c r="A3670" s="19" t="s">
        <v>2111</v>
      </c>
      <c r="B3670" s="20" t="s">
        <v>2112</v>
      </c>
    </row>
    <row r="3671" spans="1:2" x14ac:dyDescent="0.2">
      <c r="A3671" s="19" t="s">
        <v>2113</v>
      </c>
      <c r="B3671" s="20" t="s">
        <v>2114</v>
      </c>
    </row>
    <row r="3672" spans="1:2" x14ac:dyDescent="0.2">
      <c r="A3672" s="19" t="s">
        <v>2115</v>
      </c>
      <c r="B3672" s="20" t="s">
        <v>2116</v>
      </c>
    </row>
    <row r="3673" spans="1:2" x14ac:dyDescent="0.2">
      <c r="A3673" s="19" t="s">
        <v>2117</v>
      </c>
      <c r="B3673" s="20" t="s">
        <v>2116</v>
      </c>
    </row>
    <row r="3674" spans="1:2" x14ac:dyDescent="0.2">
      <c r="A3674" s="19" t="s">
        <v>2118</v>
      </c>
      <c r="B3674" s="20" t="s">
        <v>2119</v>
      </c>
    </row>
    <row r="3675" spans="1:2" x14ac:dyDescent="0.2">
      <c r="A3675" s="19" t="s">
        <v>2120</v>
      </c>
      <c r="B3675" s="20" t="s">
        <v>2121</v>
      </c>
    </row>
    <row r="3676" spans="1:2" x14ac:dyDescent="0.2">
      <c r="A3676" s="19" t="s">
        <v>2122</v>
      </c>
      <c r="B3676" s="20" t="s">
        <v>2123</v>
      </c>
    </row>
    <row r="3677" spans="1:2" x14ac:dyDescent="0.2">
      <c r="A3677" s="19">
        <v>15062018</v>
      </c>
      <c r="B3677" s="20" t="s">
        <v>2124</v>
      </c>
    </row>
    <row r="3678" spans="1:2" x14ac:dyDescent="0.2">
      <c r="A3678" s="19" t="s">
        <v>2125</v>
      </c>
      <c r="B3678" s="20" t="s">
        <v>2126</v>
      </c>
    </row>
    <row r="3679" spans="1:2" x14ac:dyDescent="0.2">
      <c r="A3679" s="19">
        <v>46340863</v>
      </c>
      <c r="B3679" s="20" t="s">
        <v>2127</v>
      </c>
    </row>
    <row r="3680" spans="1:2" x14ac:dyDescent="0.2">
      <c r="A3680" s="19" t="s">
        <v>2128</v>
      </c>
      <c r="B3680" s="20" t="s">
        <v>2129</v>
      </c>
    </row>
    <row r="3681" spans="1:2" x14ac:dyDescent="0.2">
      <c r="A3681" s="19">
        <v>39012004</v>
      </c>
      <c r="B3681" s="20" t="s">
        <v>2130</v>
      </c>
    </row>
    <row r="3682" spans="1:2" x14ac:dyDescent="0.2">
      <c r="A3682" s="19" t="s">
        <v>2131</v>
      </c>
      <c r="B3682" s="20" t="s">
        <v>2132</v>
      </c>
    </row>
    <row r="3683" spans="1:2" x14ac:dyDescent="0.2">
      <c r="A3683" s="19" t="s">
        <v>2133</v>
      </c>
      <c r="B3683" s="20" t="s">
        <v>2134</v>
      </c>
    </row>
    <row r="3684" spans="1:2" x14ac:dyDescent="0.2">
      <c r="A3684" s="19" t="s">
        <v>2135</v>
      </c>
      <c r="B3684" s="20" t="s">
        <v>2136</v>
      </c>
    </row>
    <row r="3685" spans="1:2" x14ac:dyDescent="0.2">
      <c r="A3685" s="19" t="s">
        <v>2137</v>
      </c>
      <c r="B3685" s="20" t="s">
        <v>2138</v>
      </c>
    </row>
    <row r="3686" spans="1:2" x14ac:dyDescent="0.2">
      <c r="A3686" s="19" t="s">
        <v>2139</v>
      </c>
      <c r="B3686" s="20" t="s">
        <v>2140</v>
      </c>
    </row>
    <row r="3687" spans="1:2" x14ac:dyDescent="0.2">
      <c r="A3687" s="19" t="s">
        <v>2141</v>
      </c>
      <c r="B3687" s="20" t="s">
        <v>2071</v>
      </c>
    </row>
    <row r="3688" spans="1:2" x14ac:dyDescent="0.2">
      <c r="A3688" s="19" t="s">
        <v>2142</v>
      </c>
      <c r="B3688" s="20" t="s">
        <v>2143</v>
      </c>
    </row>
    <row r="3689" spans="1:2" x14ac:dyDescent="0.2">
      <c r="A3689" s="19" t="s">
        <v>2144</v>
      </c>
      <c r="B3689" s="20" t="s">
        <v>2145</v>
      </c>
    </row>
    <row r="3690" spans="1:2" x14ac:dyDescent="0.2">
      <c r="A3690" s="19" t="s">
        <v>2146</v>
      </c>
      <c r="B3690" s="20" t="s">
        <v>2145</v>
      </c>
    </row>
    <row r="3691" spans="1:2" x14ac:dyDescent="0.2">
      <c r="A3691" s="19" t="s">
        <v>2147</v>
      </c>
      <c r="B3691" s="20" t="s">
        <v>2148</v>
      </c>
    </row>
    <row r="3692" spans="1:2" x14ac:dyDescent="0.2">
      <c r="A3692" s="19" t="s">
        <v>2149</v>
      </c>
      <c r="B3692" s="20" t="s">
        <v>2150</v>
      </c>
    </row>
    <row r="3693" spans="1:2" x14ac:dyDescent="0.2">
      <c r="A3693" s="19" t="s">
        <v>2151</v>
      </c>
      <c r="B3693" s="20" t="s">
        <v>2145</v>
      </c>
    </row>
    <row r="3694" spans="1:2" x14ac:dyDescent="0.2">
      <c r="A3694" s="19" t="s">
        <v>2152</v>
      </c>
      <c r="B3694" s="20" t="s">
        <v>2153</v>
      </c>
    </row>
    <row r="3695" spans="1:2" x14ac:dyDescent="0.2">
      <c r="A3695" s="19" t="s">
        <v>2154</v>
      </c>
      <c r="B3695" s="20" t="s">
        <v>2155</v>
      </c>
    </row>
    <row r="3696" spans="1:2" x14ac:dyDescent="0.2">
      <c r="A3696" s="19" t="s">
        <v>2156</v>
      </c>
      <c r="B3696" s="20" t="s">
        <v>2157</v>
      </c>
    </row>
    <row r="3697" spans="1:2" x14ac:dyDescent="0.2">
      <c r="A3697" s="19" t="s">
        <v>2158</v>
      </c>
      <c r="B3697" s="20" t="s">
        <v>2145</v>
      </c>
    </row>
    <row r="3698" spans="1:2" x14ac:dyDescent="0.2">
      <c r="A3698" s="19" t="s">
        <v>2159</v>
      </c>
      <c r="B3698" s="20" t="s">
        <v>2145</v>
      </c>
    </row>
    <row r="3699" spans="1:2" x14ac:dyDescent="0.2">
      <c r="A3699" s="19" t="s">
        <v>2160</v>
      </c>
      <c r="B3699" s="20" t="s">
        <v>2161</v>
      </c>
    </row>
    <row r="3700" spans="1:2" x14ac:dyDescent="0.2">
      <c r="A3700" s="19" t="s">
        <v>2162</v>
      </c>
      <c r="B3700" s="20" t="s">
        <v>2163</v>
      </c>
    </row>
    <row r="3701" spans="1:2" x14ac:dyDescent="0.2">
      <c r="A3701" s="19" t="s">
        <v>2164</v>
      </c>
      <c r="B3701" s="20" t="s">
        <v>2165</v>
      </c>
    </row>
    <row r="3702" spans="1:2" x14ac:dyDescent="0.2">
      <c r="A3702" s="19" t="s">
        <v>2166</v>
      </c>
      <c r="B3702" s="20" t="s">
        <v>2167</v>
      </c>
    </row>
    <row r="3703" spans="1:2" x14ac:dyDescent="0.2">
      <c r="A3703" s="19" t="s">
        <v>2168</v>
      </c>
      <c r="B3703" s="20" t="s">
        <v>2169</v>
      </c>
    </row>
    <row r="3704" spans="1:2" x14ac:dyDescent="0.2">
      <c r="A3704" s="19" t="s">
        <v>2170</v>
      </c>
      <c r="B3704" s="20" t="s">
        <v>2169</v>
      </c>
    </row>
    <row r="3705" spans="1:2" x14ac:dyDescent="0.2">
      <c r="A3705" s="19" t="s">
        <v>2171</v>
      </c>
      <c r="B3705" s="20" t="s">
        <v>2172</v>
      </c>
    </row>
    <row r="3706" spans="1:2" x14ac:dyDescent="0.2">
      <c r="A3706" s="19" t="s">
        <v>2173</v>
      </c>
      <c r="B3706" s="20" t="s">
        <v>2174</v>
      </c>
    </row>
    <row r="3707" spans="1:2" x14ac:dyDescent="0.2">
      <c r="A3707" s="19" t="s">
        <v>2175</v>
      </c>
      <c r="B3707" s="20" t="s">
        <v>2176</v>
      </c>
    </row>
    <row r="3708" spans="1:2" x14ac:dyDescent="0.2">
      <c r="A3708" s="19" t="s">
        <v>2177</v>
      </c>
      <c r="B3708" s="20" t="s">
        <v>2178</v>
      </c>
    </row>
    <row r="3709" spans="1:2" x14ac:dyDescent="0.2">
      <c r="A3709" s="19" t="s">
        <v>2179</v>
      </c>
      <c r="B3709" s="20" t="s">
        <v>2180</v>
      </c>
    </row>
    <row r="3710" spans="1:2" x14ac:dyDescent="0.2">
      <c r="A3710" s="19" t="s">
        <v>2181</v>
      </c>
      <c r="B3710" s="20" t="s">
        <v>2182</v>
      </c>
    </row>
    <row r="3711" spans="1:2" x14ac:dyDescent="0.2">
      <c r="A3711" s="19" t="s">
        <v>2183</v>
      </c>
      <c r="B3711" s="20" t="s">
        <v>2184</v>
      </c>
    </row>
    <row r="3712" spans="1:2" x14ac:dyDescent="0.2">
      <c r="A3712" s="19" t="s">
        <v>2185</v>
      </c>
      <c r="B3712" s="20" t="s">
        <v>2186</v>
      </c>
    </row>
    <row r="3713" spans="1:2" x14ac:dyDescent="0.2">
      <c r="A3713" s="19" t="s">
        <v>2187</v>
      </c>
      <c r="B3713" s="20" t="s">
        <v>2188</v>
      </c>
    </row>
    <row r="3714" spans="1:2" x14ac:dyDescent="0.2">
      <c r="A3714" s="19" t="s">
        <v>2189</v>
      </c>
      <c r="B3714" s="20" t="s">
        <v>2190</v>
      </c>
    </row>
    <row r="3715" spans="1:2" x14ac:dyDescent="0.2">
      <c r="A3715" s="19" t="s">
        <v>2191</v>
      </c>
      <c r="B3715" s="20" t="s">
        <v>2192</v>
      </c>
    </row>
    <row r="3716" spans="1:2" x14ac:dyDescent="0.2">
      <c r="A3716" s="19" t="s">
        <v>2193</v>
      </c>
      <c r="B3716" s="20" t="s">
        <v>2188</v>
      </c>
    </row>
    <row r="3717" spans="1:2" x14ac:dyDescent="0.2">
      <c r="A3717" s="19" t="s">
        <v>2194</v>
      </c>
      <c r="B3717" s="20" t="s">
        <v>2195</v>
      </c>
    </row>
    <row r="3718" spans="1:2" x14ac:dyDescent="0.2">
      <c r="A3718" s="19" t="s">
        <v>2196</v>
      </c>
      <c r="B3718" s="20" t="s">
        <v>2197</v>
      </c>
    </row>
    <row r="3719" spans="1:2" x14ac:dyDescent="0.2">
      <c r="A3719" s="19" t="s">
        <v>2198</v>
      </c>
      <c r="B3719" s="20" t="s">
        <v>2199</v>
      </c>
    </row>
    <row r="3720" spans="1:2" x14ac:dyDescent="0.2">
      <c r="A3720" s="19" t="s">
        <v>2200</v>
      </c>
      <c r="B3720" s="20" t="s">
        <v>2197</v>
      </c>
    </row>
    <row r="3721" spans="1:2" x14ac:dyDescent="0.2">
      <c r="A3721" s="19">
        <v>35112013</v>
      </c>
      <c r="B3721" s="20" t="s">
        <v>2201</v>
      </c>
    </row>
    <row r="3722" spans="1:2" x14ac:dyDescent="0.2">
      <c r="A3722" s="19">
        <v>20752022</v>
      </c>
      <c r="B3722" s="20" t="s">
        <v>2202</v>
      </c>
    </row>
    <row r="3723" spans="1:2" x14ac:dyDescent="0.2">
      <c r="A3723" s="19">
        <v>21560020</v>
      </c>
      <c r="B3723" s="20" t="s">
        <v>2203</v>
      </c>
    </row>
    <row r="3724" spans="1:2" x14ac:dyDescent="0.2">
      <c r="A3724" s="19" t="s">
        <v>2204</v>
      </c>
      <c r="B3724" s="20" t="s">
        <v>2205</v>
      </c>
    </row>
    <row r="3725" spans="1:2" x14ac:dyDescent="0.2">
      <c r="A3725" s="24" t="s">
        <v>2206</v>
      </c>
      <c r="B3725" s="26" t="s">
        <v>2239</v>
      </c>
    </row>
    <row r="3726" spans="1:2" x14ac:dyDescent="0.2">
      <c r="A3726" s="23" t="s">
        <v>2207</v>
      </c>
      <c r="B3726" t="s">
        <v>2240</v>
      </c>
    </row>
    <row r="3727" spans="1:2" x14ac:dyDescent="0.2">
      <c r="A3727" s="23" t="s">
        <v>2208</v>
      </c>
      <c r="B3727" t="s">
        <v>2241</v>
      </c>
    </row>
    <row r="3728" spans="1:2" x14ac:dyDescent="0.2">
      <c r="A3728" s="23" t="s">
        <v>2209</v>
      </c>
      <c r="B3728" t="s">
        <v>2242</v>
      </c>
    </row>
    <row r="3729" spans="1:2" x14ac:dyDescent="0.2">
      <c r="A3729" s="23" t="s">
        <v>2210</v>
      </c>
      <c r="B3729" t="s">
        <v>2243</v>
      </c>
    </row>
    <row r="3730" spans="1:2" x14ac:dyDescent="0.2">
      <c r="A3730" s="23" t="s">
        <v>2211</v>
      </c>
      <c r="B3730" t="s">
        <v>2244</v>
      </c>
    </row>
    <row r="3731" spans="1:2" x14ac:dyDescent="0.2">
      <c r="A3731" s="23" t="s">
        <v>2212</v>
      </c>
      <c r="B3731" t="s">
        <v>2245</v>
      </c>
    </row>
    <row r="3732" spans="1:2" x14ac:dyDescent="0.2">
      <c r="A3732" s="23" t="s">
        <v>2213</v>
      </c>
      <c r="B3732" t="s">
        <v>2246</v>
      </c>
    </row>
    <row r="3733" spans="1:2" x14ac:dyDescent="0.2">
      <c r="A3733" s="23" t="s">
        <v>2214</v>
      </c>
      <c r="B3733" t="s">
        <v>2247</v>
      </c>
    </row>
    <row r="3734" spans="1:2" x14ac:dyDescent="0.2">
      <c r="A3734" s="23" t="s">
        <v>2215</v>
      </c>
      <c r="B3734" t="s">
        <v>2248</v>
      </c>
    </row>
    <row r="3735" spans="1:2" x14ac:dyDescent="0.2">
      <c r="A3735" s="23" t="s">
        <v>2216</v>
      </c>
      <c r="B3735" t="s">
        <v>2249</v>
      </c>
    </row>
    <row r="3736" spans="1:2" x14ac:dyDescent="0.2">
      <c r="A3736" s="23" t="s">
        <v>2217</v>
      </c>
      <c r="B3736" t="s">
        <v>2250</v>
      </c>
    </row>
    <row r="3737" spans="1:2" x14ac:dyDescent="0.2">
      <c r="A3737" s="23" t="s">
        <v>2218</v>
      </c>
      <c r="B3737" t="s">
        <v>2251</v>
      </c>
    </row>
    <row r="3738" spans="1:2" x14ac:dyDescent="0.2">
      <c r="A3738" s="23" t="s">
        <v>2219</v>
      </c>
      <c r="B3738" t="s">
        <v>2252</v>
      </c>
    </row>
    <row r="3739" spans="1:2" x14ac:dyDescent="0.2">
      <c r="A3739" s="23" t="s">
        <v>2220</v>
      </c>
      <c r="B3739" t="s">
        <v>2253</v>
      </c>
    </row>
    <row r="3740" spans="1:2" x14ac:dyDescent="0.2">
      <c r="A3740" s="23" t="s">
        <v>2221</v>
      </c>
      <c r="B3740" t="s">
        <v>2254</v>
      </c>
    </row>
    <row r="3741" spans="1:2" x14ac:dyDescent="0.2">
      <c r="A3741" s="23" t="s">
        <v>2222</v>
      </c>
      <c r="B3741" t="s">
        <v>2255</v>
      </c>
    </row>
    <row r="3742" spans="1:2" x14ac:dyDescent="0.2">
      <c r="A3742" s="23" t="s">
        <v>2223</v>
      </c>
      <c r="B3742" t="s">
        <v>2256</v>
      </c>
    </row>
    <row r="3743" spans="1:2" x14ac:dyDescent="0.2">
      <c r="A3743" s="23" t="s">
        <v>2224</v>
      </c>
      <c r="B3743" t="s">
        <v>2257</v>
      </c>
    </row>
    <row r="3744" spans="1:2" x14ac:dyDescent="0.2">
      <c r="A3744" s="23" t="s">
        <v>2225</v>
      </c>
      <c r="B3744" t="s">
        <v>2258</v>
      </c>
    </row>
    <row r="3745" spans="1:2" x14ac:dyDescent="0.2">
      <c r="A3745" s="23" t="s">
        <v>2226</v>
      </c>
      <c r="B3745" t="s">
        <v>2259</v>
      </c>
    </row>
    <row r="3746" spans="1:2" x14ac:dyDescent="0.2">
      <c r="A3746" s="23" t="s">
        <v>2227</v>
      </c>
      <c r="B3746" t="s">
        <v>2260</v>
      </c>
    </row>
    <row r="3747" spans="1:2" x14ac:dyDescent="0.2">
      <c r="A3747" s="23" t="s">
        <v>2228</v>
      </c>
      <c r="B3747" t="s">
        <v>2261</v>
      </c>
    </row>
    <row r="3748" spans="1:2" x14ac:dyDescent="0.2">
      <c r="A3748" s="23" t="s">
        <v>2229</v>
      </c>
      <c r="B3748" t="s">
        <v>2262</v>
      </c>
    </row>
    <row r="3749" spans="1:2" x14ac:dyDescent="0.2">
      <c r="A3749" s="23" t="s">
        <v>2230</v>
      </c>
      <c r="B3749" t="s">
        <v>2263</v>
      </c>
    </row>
    <row r="3750" spans="1:2" x14ac:dyDescent="0.2">
      <c r="A3750" s="23" t="s">
        <v>2231</v>
      </c>
      <c r="B3750" t="s">
        <v>2264</v>
      </c>
    </row>
    <row r="3751" spans="1:2" x14ac:dyDescent="0.2">
      <c r="A3751" s="23" t="s">
        <v>2232</v>
      </c>
      <c r="B3751" t="s">
        <v>2265</v>
      </c>
    </row>
    <row r="3752" spans="1:2" x14ac:dyDescent="0.2">
      <c r="A3752" s="23" t="s">
        <v>2233</v>
      </c>
      <c r="B3752" t="s">
        <v>2266</v>
      </c>
    </row>
    <row r="3753" spans="1:2" x14ac:dyDescent="0.2">
      <c r="A3753" s="23" t="s">
        <v>2234</v>
      </c>
      <c r="B3753" t="s">
        <v>2267</v>
      </c>
    </row>
    <row r="3754" spans="1:2" x14ac:dyDescent="0.2">
      <c r="A3754" s="23" t="s">
        <v>2235</v>
      </c>
      <c r="B3754" t="s">
        <v>2268</v>
      </c>
    </row>
    <row r="3755" spans="1:2" x14ac:dyDescent="0.2">
      <c r="A3755" s="23" t="s">
        <v>2236</v>
      </c>
      <c r="B3755" t="s">
        <v>2269</v>
      </c>
    </row>
    <row r="3756" spans="1:2" x14ac:dyDescent="0.2">
      <c r="A3756" s="23" t="s">
        <v>2237</v>
      </c>
      <c r="B3756" t="s">
        <v>2270</v>
      </c>
    </row>
    <row r="3757" spans="1:2" x14ac:dyDescent="0.2">
      <c r="A3757" s="23" t="s">
        <v>2238</v>
      </c>
      <c r="B3757" t="s">
        <v>2271</v>
      </c>
    </row>
    <row r="3758" spans="1:2" x14ac:dyDescent="0.2">
      <c r="A3758"/>
    </row>
  </sheetData>
  <sortState xmlns:xlrd2="http://schemas.microsoft.com/office/spreadsheetml/2017/richdata2" ref="A1:B6821">
    <sortCondition ref="A1:A6821"/>
  </sortState>
  <conditionalFormatting sqref="A1:A3757 A3759:A1048576">
    <cfRule type="duplicateValues" dxfId="4" priority="1"/>
    <cfRule type="duplicateValues" dxfId="3" priority="2"/>
    <cfRule type="duplicateValues" dxfId="2" priority="3"/>
  </conditionalFormatting>
  <conditionalFormatting sqref="A6863:A1048576 A1:A3628"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-</vt:lpstr>
      <vt:lpstr>List1</vt:lpstr>
      <vt:lpstr>'-'!Ispis_naslova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Breznik</dc:creator>
  <cp:lastModifiedBy>Ivana Rakić</cp:lastModifiedBy>
  <cp:lastPrinted>2025-06-17T08:35:19Z</cp:lastPrinted>
  <dcterms:created xsi:type="dcterms:W3CDTF">2021-08-23T11:43:29Z</dcterms:created>
  <dcterms:modified xsi:type="dcterms:W3CDTF">2025-06-17T08:35:27Z</dcterms:modified>
</cp:coreProperties>
</file>